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790" activeTab="0"/>
  </bookViews>
  <sheets>
    <sheet name="Samlet Stilling" sheetId="1" r:id="rId1"/>
    <sheet name="Money" sheetId="2" r:id="rId2"/>
    <sheet name="Point" sheetId="3" r:id="rId3"/>
    <sheet name="Puts" sheetId="4" r:id="rId4"/>
    <sheet name="Tæt-flag" sheetId="5" r:id="rId5"/>
    <sheet name="Webm" sheetId="6" r:id="rId6"/>
    <sheet name="26-9" sheetId="7" r:id="rId7"/>
    <sheet name="24-9" sheetId="8" r:id="rId8"/>
    <sheet name="17-9" sheetId="9" r:id="rId9"/>
    <sheet name="10-9" sheetId="10" r:id="rId10"/>
    <sheet name="3-9" sheetId="11" r:id="rId11"/>
    <sheet name="27-8" sheetId="12" r:id="rId12"/>
    <sheet name="20-8" sheetId="13" r:id="rId13"/>
    <sheet name="15-8B" sheetId="14" r:id="rId14"/>
    <sheet name="15-8A" sheetId="15" r:id="rId15"/>
    <sheet name="13-8" sheetId="16" r:id="rId16"/>
    <sheet name="6-8" sheetId="17" r:id="rId17"/>
    <sheet name="30-7" sheetId="18" r:id="rId18"/>
    <sheet name="23-7" sheetId="19" r:id="rId19"/>
    <sheet name="16-7" sheetId="20" r:id="rId20"/>
    <sheet name="9-7" sheetId="21" r:id="rId21"/>
    <sheet name="2-7" sheetId="22" r:id="rId22"/>
    <sheet name="25-6" sheetId="23" r:id="rId23"/>
    <sheet name="18-6" sheetId="24" r:id="rId24"/>
    <sheet name="11-6" sheetId="25" r:id="rId25"/>
    <sheet name="4-6" sheetId="26" r:id="rId26"/>
    <sheet name="29-5-eft" sheetId="27" r:id="rId27"/>
    <sheet name="29-5-for" sheetId="28" r:id="rId28"/>
    <sheet name="21-5" sheetId="29" r:id="rId29"/>
    <sheet name="14-5" sheetId="30" r:id="rId30"/>
    <sheet name="7-5" sheetId="31" r:id="rId31"/>
    <sheet name="30-4" sheetId="32" r:id="rId32"/>
    <sheet name="23-4" sheetId="33" r:id="rId33"/>
    <sheet name="16-4" sheetId="34" r:id="rId34"/>
    <sheet name="9-4" sheetId="35" r:id="rId35"/>
    <sheet name="2-4" sheetId="36" r:id="rId36"/>
    <sheet name="26-3" sheetId="37" r:id="rId37"/>
    <sheet name="19-3" sheetId="38" r:id="rId38"/>
  </sheets>
  <definedNames>
    <definedName name="_xlnm._FilterDatabase" localSheetId="1" hidden="1">'Money'!$C$2:$C$20</definedName>
    <definedName name="_xlnm._FilterDatabase" localSheetId="2" hidden="1">'Point'!$C$2:$C$26</definedName>
    <definedName name="_xlnm._FilterDatabase" localSheetId="3" hidden="1">'Puts'!$C$2:$C$26</definedName>
    <definedName name="_xlnm._FilterDatabase" localSheetId="4" hidden="1">'Tæt-flag'!$C$2:$C$32</definedName>
    <definedName name="_xlnm.Print_Area" localSheetId="9">'10-9'!$A$1:$P$30</definedName>
    <definedName name="_xlnm.Print_Area" localSheetId="24">'11-6'!$A$1:$P$30</definedName>
    <definedName name="_xlnm.Print_Area" localSheetId="15">'13-8'!$A$1:$P$30</definedName>
    <definedName name="_xlnm.Print_Area" localSheetId="29">'14-5'!$A$1:$P$30</definedName>
    <definedName name="_xlnm.Print_Area" localSheetId="14">'15-8A'!$A$1:$P$30</definedName>
    <definedName name="_xlnm.Print_Area" localSheetId="13">'15-8B'!$A$1:$P$30</definedName>
    <definedName name="_xlnm.Print_Area" localSheetId="33">'16-4'!$A$1:$P$30</definedName>
    <definedName name="_xlnm.Print_Area" localSheetId="19">'16-7'!$A$1:$P$30</definedName>
    <definedName name="_xlnm.Print_Area" localSheetId="8">'17-9'!$A$1:$P$30</definedName>
    <definedName name="_xlnm.Print_Area" localSheetId="23">'18-6'!$A$1:$P$30</definedName>
    <definedName name="_xlnm.Print_Area" localSheetId="37">'19-3'!$A$1:$P$30</definedName>
    <definedName name="_xlnm.Print_Area" localSheetId="12">'20-8'!$A$1:$P$30</definedName>
    <definedName name="_xlnm.Print_Area" localSheetId="28">'21-5'!$A$1:$P$30</definedName>
    <definedName name="_xlnm.Print_Area" localSheetId="32">'23-4'!$A$1:$P$30</definedName>
    <definedName name="_xlnm.Print_Area" localSheetId="18">'23-7'!$A$1:$P$30</definedName>
    <definedName name="_xlnm.Print_Area" localSheetId="35">'2-4'!$A$1:$P$30</definedName>
    <definedName name="_xlnm.Print_Area" localSheetId="7">'24-9'!$A$1:$P$30</definedName>
    <definedName name="_xlnm.Print_Area" localSheetId="22">'25-6'!$A$1:$P$30</definedName>
    <definedName name="_xlnm.Print_Area" localSheetId="36">'26-3'!$A$1:$P$30</definedName>
    <definedName name="_xlnm.Print_Area" localSheetId="6">'26-9'!$A$1:$P$30</definedName>
    <definedName name="_xlnm.Print_Area" localSheetId="21">'2-7'!$A$1:$P$30</definedName>
    <definedName name="_xlnm.Print_Area" localSheetId="11">'27-8'!$A$1:$P$30</definedName>
    <definedName name="_xlnm.Print_Area" localSheetId="26">'29-5-eft'!$A$1:$P$30</definedName>
    <definedName name="_xlnm.Print_Area" localSheetId="27">'29-5-for'!$A$1:$P$30</definedName>
    <definedName name="_xlnm.Print_Area" localSheetId="31">'30-4'!$A$1:$P$30</definedName>
    <definedName name="_xlnm.Print_Area" localSheetId="17">'30-7'!$A$1:$P$30</definedName>
    <definedName name="_xlnm.Print_Area" localSheetId="10">'3-9'!$A$1:$P$30</definedName>
    <definedName name="_xlnm.Print_Area" localSheetId="25">'4-6'!$A$1:$P$30</definedName>
    <definedName name="_xlnm.Print_Area" localSheetId="16">'6-8'!$A$1:$P$30</definedName>
    <definedName name="_xlnm.Print_Area" localSheetId="30">'7-5'!$A$1:$P$30</definedName>
    <definedName name="_xlnm.Print_Area" localSheetId="34">'9-4'!$A$1:$P$30</definedName>
    <definedName name="_xlnm.Print_Area" localSheetId="20">'9-7'!$A$1:$P$30</definedName>
    <definedName name="_xlnm.Print_Area" localSheetId="1">'Money'!$B$1:$AE$23</definedName>
    <definedName name="_xlnm.Print_Area" localSheetId="2">'Point'!$B$1:$BN$30</definedName>
    <definedName name="_xlnm.Print_Area" localSheetId="3">'Puts'!$B$1:$AJ$29</definedName>
    <definedName name="_xlnm.Print_Area" localSheetId="4">'Tæt-flag'!$B$1:$E$42</definedName>
  </definedNames>
  <calcPr fullCalcOnLoad="1"/>
</workbook>
</file>

<file path=xl/sharedStrings.xml><?xml version="1.0" encoding="utf-8"?>
<sst xmlns="http://schemas.openxmlformats.org/spreadsheetml/2006/main" count="2492" uniqueCount="262">
  <si>
    <t>Spiller</t>
  </si>
  <si>
    <t>HCP</t>
  </si>
  <si>
    <t>Puts</t>
  </si>
  <si>
    <t>Præmiesum i $:</t>
  </si>
  <si>
    <t>$</t>
  </si>
  <si>
    <t>Point</t>
  </si>
  <si>
    <t>Placering</t>
  </si>
  <si>
    <t>Slag / point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</si>
  <si>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</si>
  <si>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</si>
  <si>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</si>
  <si>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</si>
  <si>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</si>
  <si>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</si>
  <si>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</si>
  <si>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</si>
  <si>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Makker</t>
  </si>
  <si>
    <t>Money</t>
  </si>
  <si>
    <t>2 x</t>
  </si>
  <si>
    <t>Hold</t>
  </si>
  <si>
    <t>4x</t>
  </si>
  <si>
    <t>3x</t>
  </si>
  <si>
    <t>POINT</t>
  </si>
  <si>
    <t>MONEY</t>
  </si>
  <si>
    <t>PUTS</t>
  </si>
  <si>
    <t>NÆRMEST FLAGET</t>
  </si>
  <si>
    <t>Inngolf Banerekorder:</t>
  </si>
  <si>
    <t>Skoven-Sletten: Dan 75 slag 24/3-05      Sletten-Ådalen: Stig 74 slag 21/7-05      Ådalen-Skoven: Dan 78 slag 28/7-05</t>
  </si>
  <si>
    <t>Samlet</t>
  </si>
  <si>
    <t>Robin</t>
  </si>
  <si>
    <t>Børge</t>
  </si>
  <si>
    <t>Gen.snit</t>
  </si>
  <si>
    <t>Putte-runder</t>
  </si>
  <si>
    <t>Med 37 puts</t>
  </si>
  <si>
    <t>Runder tæller</t>
  </si>
  <si>
    <t>Søtste</t>
  </si>
  <si>
    <t>Når der spilles mindre end 18 huller</t>
  </si>
  <si>
    <t xml:space="preserve"> - udregnes put antal ud fra gennemsnittet af de spillede huller</t>
  </si>
  <si>
    <t xml:space="preserve">                Tættest Flaget</t>
  </si>
  <si>
    <t>Længste Drive</t>
  </si>
  <si>
    <t>Hul</t>
  </si>
  <si>
    <t>Dato</t>
  </si>
  <si>
    <t>Bane</t>
  </si>
  <si>
    <t>Skoven 5</t>
  </si>
  <si>
    <t>Total</t>
  </si>
  <si>
    <t>CLOSEST PIN</t>
  </si>
  <si>
    <t>Bredde i Excel</t>
  </si>
  <si>
    <t>Bredde i pixels</t>
  </si>
  <si>
    <t>Kolone</t>
  </si>
  <si>
    <t>En "bredde" i Excel = pixels</t>
  </si>
  <si>
    <t>Tællende</t>
  </si>
  <si>
    <t>Min. tællende</t>
  </si>
  <si>
    <t>De 18 bedste resultater tæller, resten udgår (feltet markeret med rød baggrund)</t>
  </si>
  <si>
    <t>De dårligste streges (markeret med rød baggrund) hvis man har spillet over 18 runder.</t>
  </si>
  <si>
    <t>LÆNGSTE DRIVE</t>
  </si>
  <si>
    <t>LONGEST DRIVE</t>
  </si>
  <si>
    <t>19/3</t>
  </si>
  <si>
    <t>Afstand i m</t>
  </si>
  <si>
    <t>Finn</t>
  </si>
  <si>
    <t>Morten</t>
  </si>
  <si>
    <t>Per Nørsten</t>
  </si>
  <si>
    <t>Carsten Lund</t>
  </si>
  <si>
    <t>Bo</t>
  </si>
  <si>
    <t>Jens</t>
  </si>
  <si>
    <t>Kristian Pedersen</t>
  </si>
  <si>
    <t>Peter</t>
  </si>
  <si>
    <t>Henning</t>
  </si>
  <si>
    <t>Erik</t>
  </si>
  <si>
    <t>Torben</t>
  </si>
  <si>
    <t>Thorkild</t>
  </si>
  <si>
    <t>John</t>
  </si>
  <si>
    <t>Inngolf PGA Tour 2009 - Torsdag den 19/3 - 9 huller Stableford - Skoven</t>
  </si>
  <si>
    <t>Sign on fee          + $-præmie</t>
  </si>
  <si>
    <t>Tættest Flaget</t>
  </si>
  <si>
    <t>Arnold Palmer Invitational</t>
  </si>
  <si>
    <t>Transitions Championship</t>
  </si>
  <si>
    <t>Inngolf PGA Tour 2009 - Torsdag den 26/3 - 9 huller Stableford - Skoven</t>
  </si>
  <si>
    <t>Jesper Heiberg</t>
  </si>
  <si>
    <t>Jesper Nielsen</t>
  </si>
  <si>
    <t>Per Jakobsen</t>
  </si>
  <si>
    <t>Ivar</t>
  </si>
  <si>
    <t>Ib</t>
  </si>
  <si>
    <t>Carsten Dahl</t>
  </si>
  <si>
    <t>Søren</t>
  </si>
  <si>
    <t>Kaj</t>
  </si>
  <si>
    <t>19-3</t>
  </si>
  <si>
    <t>26-3</t>
  </si>
  <si>
    <t>2-4</t>
  </si>
  <si>
    <t>9-4</t>
  </si>
  <si>
    <t>16-4</t>
  </si>
  <si>
    <t>23-4</t>
  </si>
  <si>
    <t>30-4</t>
  </si>
  <si>
    <t>7-5</t>
  </si>
  <si>
    <t>14-5</t>
  </si>
  <si>
    <t>21-5</t>
  </si>
  <si>
    <t>29-5 form</t>
  </si>
  <si>
    <t>29-5 efterm</t>
  </si>
  <si>
    <t>11-6</t>
  </si>
  <si>
    <t>18-6</t>
  </si>
  <si>
    <t>25-6</t>
  </si>
  <si>
    <t>2-7</t>
  </si>
  <si>
    <t>9-7</t>
  </si>
  <si>
    <t>16-7</t>
  </si>
  <si>
    <t>23-7</t>
  </si>
  <si>
    <t>30-7</t>
  </si>
  <si>
    <t>6-8</t>
  </si>
  <si>
    <t>13-8</t>
  </si>
  <si>
    <t>15-8 form</t>
  </si>
  <si>
    <t>15-8 efterm</t>
  </si>
  <si>
    <t>20-8</t>
  </si>
  <si>
    <t>27-8</t>
  </si>
  <si>
    <t>3-9</t>
  </si>
  <si>
    <t>10-9</t>
  </si>
  <si>
    <t>17-9</t>
  </si>
  <si>
    <t>24-9</t>
  </si>
  <si>
    <t>26-9 Finale</t>
  </si>
  <si>
    <t xml:space="preserve">    Puts</t>
  </si>
  <si>
    <t>Matchplay</t>
  </si>
  <si>
    <t xml:space="preserve"> Inngolf Ranking</t>
  </si>
  <si>
    <t>Manglende runder op til 18 udregnet efter 37 puts!</t>
  </si>
  <si>
    <t>Money List</t>
  </si>
  <si>
    <t>Carsten L.</t>
  </si>
  <si>
    <t>Per N.</t>
  </si>
  <si>
    <t>Kristian P.</t>
  </si>
  <si>
    <t>Carsten D.</t>
  </si>
  <si>
    <t>Jesper H.</t>
  </si>
  <si>
    <t>Jesper N.</t>
  </si>
  <si>
    <t>Per J.</t>
  </si>
  <si>
    <t>Tæt. Flag ($= 7 plads)</t>
  </si>
  <si>
    <t>Shell Houston Open</t>
  </si>
  <si>
    <t>Inngolf PGA Tour 2009 - Torsdag den 2/4 - 12 huller Stableford - Ådalen-Skoven</t>
  </si>
  <si>
    <t>Carsten L</t>
  </si>
  <si>
    <t>Ådalen 2</t>
  </si>
  <si>
    <t>2/4</t>
  </si>
  <si>
    <t>2-4 (12 hul-&gt;18)</t>
  </si>
  <si>
    <t xml:space="preserve">   INNGOLF STILLING 2009      </t>
  </si>
  <si>
    <t>puts *18/12</t>
  </si>
  <si>
    <t>Masters Tournament</t>
  </si>
  <si>
    <t>Verizon Heritage</t>
  </si>
  <si>
    <t>Inngolf PGA Tour 2009 - Torsdag den 16/4 - 18 huller Stableford - Sletten-Ådalen</t>
  </si>
  <si>
    <t>Inngolf PGA Tour 2009 - Torsdag den 9/4 - 18 huller Stableford - Skoven-Sletten</t>
  </si>
  <si>
    <t>9/4</t>
  </si>
  <si>
    <t>Zürich Classic of New Orleans</t>
  </si>
  <si>
    <t>Inngolf PGA Tour 2009 - Torsdag den 23/4 - 18 hullers 5 køller match - Ådalen-Skoven</t>
  </si>
  <si>
    <t>23/4</t>
  </si>
  <si>
    <t>Wachovia Championship</t>
  </si>
  <si>
    <t>Inngolf PGA Tour 2009 - Torsdag den 30/4 - 18 hullers stableford - Sletten-Ådalen</t>
  </si>
  <si>
    <t>*   31</t>
  </si>
  <si>
    <t>*   Mortens Point &amp; $ præmie er halveret på grund af fejl i scorekort!</t>
  </si>
  <si>
    <t>Sletten 9</t>
  </si>
  <si>
    <t>30/4</t>
  </si>
  <si>
    <t>7/5</t>
  </si>
  <si>
    <t>The Players Championship</t>
  </si>
  <si>
    <t>Inngolf PGA Tour 2009 - Torsdag den 7/5 - 18 hullers stableford - Sletten-Ådalen</t>
  </si>
  <si>
    <t>Inngolf PGA Tour 2009 - Torsdag den 14/5 - 18 hullers Chicago - Ådalen-Skoven</t>
  </si>
  <si>
    <t>Valero Texas Open</t>
  </si>
  <si>
    <t>14/5</t>
  </si>
  <si>
    <t>Inngolf PGA Tour 2009 - Torsdag den 21/5 - 18 hullers Stableford - Skoven-Sletten</t>
  </si>
  <si>
    <t>HP Byron Nelson Championship</t>
  </si>
  <si>
    <t>21/5</t>
  </si>
  <si>
    <t>Stanford St. Jude Championship - Dejbjerg</t>
  </si>
  <si>
    <t>Inngolf PGA Tour 2009 - Fredag den 29/5 - 18 hullers Foursome - Dejbjerg</t>
  </si>
  <si>
    <t>Inngolf PGA Tour 2009 - Fredag den 29/5 - 18 hullers Stableford - Dejbjerg</t>
  </si>
  <si>
    <t>Hul 18</t>
  </si>
  <si>
    <t>12-2,45</t>
  </si>
  <si>
    <t>4-9,80</t>
  </si>
  <si>
    <t>18-1,75</t>
  </si>
  <si>
    <t>8-LD</t>
  </si>
  <si>
    <t>Dejbjerg 3</t>
  </si>
  <si>
    <t>Dejbjerg 12</t>
  </si>
  <si>
    <t>Dejbjerg 18</t>
  </si>
  <si>
    <t>29/5</t>
  </si>
  <si>
    <t>Dejbjerg 8</t>
  </si>
  <si>
    <t>Kontrol:</t>
  </si>
  <si>
    <t>Memorial Tournament</t>
  </si>
  <si>
    <t>Jesper</t>
  </si>
  <si>
    <t>Inngolf PGA Tour 2009 - Torsdag den 4/6 - 18 hullers Stableford - Sletten-Ådalen</t>
  </si>
  <si>
    <t>4/6</t>
  </si>
  <si>
    <t>4-6</t>
  </si>
  <si>
    <t>11/6</t>
  </si>
  <si>
    <t>St. Jude Classic</t>
  </si>
  <si>
    <t>Inngolf PGA Tour 2009 - Torsdag den11/6 - 18 hullers Stableford - Ådalen-Skoven</t>
  </si>
  <si>
    <t>US Open</t>
  </si>
  <si>
    <t>Travelers Championship</t>
  </si>
  <si>
    <t>Inngolf PGA Tour 2009 - Torsdag den25/6 - 18 hullers Texas Scramble - Sletten-Ådalen</t>
  </si>
  <si>
    <t>Inngolf PGA Tour 2009 - Torsdag den18/6 - 18 hullers Stableford - Skoven-Sletten</t>
  </si>
  <si>
    <t>Jesper N</t>
  </si>
  <si>
    <t>25/6</t>
  </si>
  <si>
    <t>18/6</t>
  </si>
  <si>
    <t>Inngolf PGA Tour 2009 - Torsdag den2/7 - 18 hullers Stableford - Skoven-Sletten</t>
  </si>
  <si>
    <t>AT&amp;T National</t>
  </si>
  <si>
    <t>2/7</t>
  </si>
  <si>
    <t>Kristian Dam</t>
  </si>
  <si>
    <t>Kristian D.</t>
  </si>
  <si>
    <t>John Deere Classic</t>
  </si>
  <si>
    <t>Inngolf PGA Tour 2009 - Torsdag den 9/7 - 18 hullers Stableford - rød tee</t>
  </si>
  <si>
    <t>British Open Championship</t>
  </si>
  <si>
    <t>Inngolf PGA Tour 2009 - Torsdag den 16/7 - 18 hullers slagspil</t>
  </si>
  <si>
    <t>RBC Canadian Open</t>
  </si>
  <si>
    <t>Buick Open</t>
  </si>
  <si>
    <t>Inngolf PGA Tour 2009 - Torsdag den 23/7 - 18 hullers Stableford</t>
  </si>
  <si>
    <t>23/7</t>
  </si>
  <si>
    <t>16/7</t>
  </si>
  <si>
    <t>Inngolf PGA Tour 2009 - Torsdag den 30/7 - 18 hullers Stableford</t>
  </si>
  <si>
    <t>Skoven-Sletten: Per J. 14 points 29/5-08 - Sletten-Ådalen: Ivar. 13 points 9/7-09 - Ådalen-Skoven: Jesper N. 14 points 10/4-08</t>
  </si>
  <si>
    <t>30/7</t>
  </si>
  <si>
    <t>T3</t>
  </si>
  <si>
    <t>Inngolf PGA Tour 2009 - Torsdag den 6/8 - 18 hullers Stableford</t>
  </si>
  <si>
    <t>Inngolf PGA Tour 2009 - Torsdag den 13/8 - 18 hullers Stableford</t>
  </si>
  <si>
    <t>Bridgestone Invitational</t>
  </si>
  <si>
    <t>Legends Reno-Tahoe Open</t>
  </si>
  <si>
    <t>Inngolf PGA Tour 2009 - Torsdag den 15/8 eftermiddag - 18 hullers Stableford</t>
  </si>
  <si>
    <t>Inngolf PGA Tour 2009 - Torsdag den 13/8 formiddag - 18 hullers Texas Scramble</t>
  </si>
  <si>
    <t>Inngolf PGA Tour 2009 - Torsdag den 20/8 - 10 hullers Stableford - Tordenvejr!</t>
  </si>
  <si>
    <t>Wyndham Championship</t>
  </si>
  <si>
    <t>Korrigeret</t>
  </si>
  <si>
    <t>20/8</t>
  </si>
  <si>
    <t>15/8</t>
  </si>
  <si>
    <t>PGA Championship</t>
  </si>
  <si>
    <t>1x</t>
  </si>
  <si>
    <t>Inngolf PGA Tour 2009 - Torsdag den 27/8 - 18 hullers slagspil</t>
  </si>
  <si>
    <t>The Barclays</t>
  </si>
  <si>
    <t>2</t>
  </si>
  <si>
    <t>42</t>
  </si>
  <si>
    <t>40</t>
  </si>
  <si>
    <t>45</t>
  </si>
  <si>
    <t>Deutsche Bank Championship</t>
  </si>
  <si>
    <t>Puts korr.</t>
  </si>
  <si>
    <t>37</t>
  </si>
  <si>
    <t>41</t>
  </si>
  <si>
    <t>3/9</t>
  </si>
  <si>
    <t>Inngolf PGA Tour 2009 - Torsdag den 3/9 - 15 hullers stableford</t>
  </si>
  <si>
    <t>Tinglev 18</t>
  </si>
  <si>
    <t>Tinglev 3</t>
  </si>
  <si>
    <t>Inngolf PGA Tour 2009 - Torsdag den 10/9 - 17 hullers stableford</t>
  </si>
  <si>
    <t>BMW Championship</t>
  </si>
  <si>
    <t>1</t>
  </si>
  <si>
    <t>17/9</t>
  </si>
  <si>
    <t>Inngolf PGA Tour 2009 - Torsdag den 17/9 - 13 hullers stableford</t>
  </si>
  <si>
    <t>The Tour Championship</t>
  </si>
  <si>
    <t>36</t>
  </si>
  <si>
    <t>39</t>
  </si>
  <si>
    <t>44</t>
  </si>
  <si>
    <t>Turning Stone Resort Championship</t>
  </si>
  <si>
    <t>The InnGolf Final 2009</t>
  </si>
  <si>
    <t>Inngolf PGA Tour 2009 - Torsdag den 26/9 - 27 hullers stableford</t>
  </si>
  <si>
    <t>Inngolf PGA Tour 2009 - Torsdag den 14/9 - 12 hullers stableford</t>
  </si>
  <si>
    <t>24/9</t>
  </si>
  <si>
    <t>Største</t>
  </si>
  <si>
    <t>48</t>
  </si>
  <si>
    <t>3</t>
  </si>
  <si>
    <t>MATCH PLAY</t>
  </si>
  <si>
    <t>T5</t>
  </si>
  <si>
    <t>26/9</t>
  </si>
  <si>
    <t>Skoven 2</t>
  </si>
  <si>
    <t>Ådalen 9</t>
  </si>
  <si>
    <t>Skoven 8</t>
  </si>
  <si>
    <t>Sletten 4</t>
  </si>
  <si>
    <t>Sletten 6</t>
  </si>
  <si>
    <t>LD</t>
  </si>
  <si>
    <t>3 x</t>
  </si>
  <si>
    <t>1 x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</si>
</sst>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kr.&quot;\ #,##0_);\(&quot;kr.&quot;\ #,##0\)"/>
    <numFmt numFmtId="188" formatCode="&quot;kr.&quot;\ #,##0_);[Red]\(&quot;kr.&quot;\ #,##0\)"/>
    <numFmt numFmtId="189" formatCode="&quot;kr.&quot;\ #,##0.00_);\(&quot;kr.&quot;\ #,##0.00\)"/>
    <numFmt numFmtId="190" formatCode="&quot;kr.&quot;\ #,##0.00_);[Red]\(&quot;kr.&quot;\ #,##0.00\)"/>
    <numFmt numFmtId="191" formatCode="_(&quot;kr.&quot;\ * #,##0_);_(&quot;kr.&quot;\ * \(#,##0\);_(&quot;kr.&quot;\ * &quot;-&quot;_);_(@_)"/>
    <numFmt numFmtId="192" formatCode="_(&quot;kr.&quot;\ * #,##0.00_);_(&quot;kr.&quot;\ * \(#,##0.00\);_(&quot;kr.&quot;\ * &quot;-&quot;??_);_(@_)"/>
    <numFmt numFmtId="193" formatCode="[$-406]d\.\ mmmm\ yyyy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</numFmts>
  <fonts count="46">
    <font>
      <sz val="10"/>
      <name val="Arial"/>
      <family val="0"/>
    </font>
    <font>
      <b/>
      <sz val="2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5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2"/>
      <name val="Verdana"/>
      <family val="2"/>
    </font>
    <font>
      <sz val="12"/>
      <color indexed="9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7"/>
      <name val="Verdana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i/>
      <sz val="11"/>
      <color indexed="10"/>
      <name val="Arial"/>
      <family val="2"/>
    </font>
    <font>
      <i/>
      <sz val="10"/>
      <color indexed="22"/>
      <name val="Arial"/>
      <family val="2"/>
    </font>
    <font>
      <sz val="9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31" fillId="17" borderId="2" applyNumberFormat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8" borderId="3" applyNumberFormat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17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7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1" fontId="11" fillId="0" borderId="13" xfId="0" applyNumberFormat="1" applyFont="1" applyBorder="1" applyAlignment="1">
      <alignment horizontal="center"/>
    </xf>
    <xf numFmtId="3" fontId="11" fillId="0" borderId="12" xfId="0" applyNumberFormat="1" applyFont="1" applyFill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textRotation="90"/>
      <protection locked="0"/>
    </xf>
    <xf numFmtId="49" fontId="6" fillId="0" borderId="0" xfId="0" applyNumberFormat="1" applyFont="1" applyBorder="1" applyAlignment="1" applyProtection="1">
      <alignment textRotation="90"/>
      <protection/>
    </xf>
    <xf numFmtId="49" fontId="0" fillId="25" borderId="10" xfId="0" applyNumberFormat="1" applyFont="1" applyFill="1" applyBorder="1" applyAlignment="1" applyProtection="1">
      <alignment horizontal="center" textRotation="90"/>
      <protection/>
    </xf>
    <xf numFmtId="0" fontId="6" fillId="0" borderId="0" xfId="0" applyFont="1" applyFill="1" applyAlignment="1" applyProtection="1">
      <alignment/>
      <protection locked="0"/>
    </xf>
    <xf numFmtId="0" fontId="13" fillId="25" borderId="10" xfId="0" applyFont="1" applyFill="1" applyBorder="1" applyAlignment="1" applyProtection="1">
      <alignment horizontal="left" wrapText="1"/>
      <protection/>
    </xf>
    <xf numFmtId="0" fontId="14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6" fillId="25" borderId="10" xfId="0" applyNumberFormat="1" applyFont="1" applyFill="1" applyBorder="1" applyAlignment="1" applyProtection="1">
      <alignment horizontal="center" textRotation="90"/>
      <protection locked="0"/>
    </xf>
    <xf numFmtId="0" fontId="11" fillId="0" borderId="0" xfId="0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2" fontId="6" fillId="25" borderId="10" xfId="0" applyNumberFormat="1" applyFont="1" applyFill="1" applyBorder="1" applyAlignment="1" applyProtection="1">
      <alignment horizontal="center" textRotation="90"/>
      <protection locked="0"/>
    </xf>
    <xf numFmtId="2" fontId="11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textRotation="90"/>
      <protection locked="0"/>
    </xf>
    <xf numFmtId="2" fontId="6" fillId="25" borderId="20" xfId="0" applyNumberFormat="1" applyFont="1" applyFill="1" applyBorder="1" applyAlignment="1" applyProtection="1">
      <alignment horizontal="center" textRotation="90"/>
      <protection locked="0"/>
    </xf>
    <xf numFmtId="49" fontId="6" fillId="25" borderId="20" xfId="0" applyNumberFormat="1" applyFont="1" applyFill="1" applyBorder="1" applyAlignment="1" applyProtection="1">
      <alignment horizontal="center" textRotation="90"/>
      <protection locked="0"/>
    </xf>
    <xf numFmtId="49" fontId="6" fillId="0" borderId="0" xfId="0" applyNumberFormat="1" applyFont="1" applyBorder="1" applyAlignment="1" applyProtection="1">
      <alignment horizontal="center" textRotation="90"/>
      <protection locked="0"/>
    </xf>
    <xf numFmtId="0" fontId="6" fillId="25" borderId="11" xfId="0" applyFont="1" applyFill="1" applyBorder="1" applyAlignment="1" applyProtection="1">
      <alignment/>
      <protection locked="0"/>
    </xf>
    <xf numFmtId="2" fontId="11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6" fillId="25" borderId="10" xfId="0" applyFont="1" applyFill="1" applyBorder="1" applyAlignment="1" applyProtection="1">
      <alignment horizontal="left"/>
      <protection/>
    </xf>
    <xf numFmtId="2" fontId="11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2" fontId="11" fillId="0" borderId="17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25" borderId="10" xfId="0" applyFont="1" applyFill="1" applyBorder="1" applyAlignment="1" applyProtection="1">
      <alignment/>
      <protection locked="0"/>
    </xf>
    <xf numFmtId="2" fontId="11" fillId="0" borderId="19" xfId="0" applyNumberFormat="1" applyFont="1" applyBorder="1" applyAlignment="1" applyProtection="1">
      <alignment horizontal="center"/>
      <protection locked="0"/>
    </xf>
    <xf numFmtId="0" fontId="13" fillId="25" borderId="10" xfId="0" applyFont="1" applyFill="1" applyBorder="1" applyAlignment="1" applyProtection="1">
      <alignment wrapText="1"/>
      <protection/>
    </xf>
    <xf numFmtId="0" fontId="6" fillId="25" borderId="10" xfId="0" applyFont="1" applyFill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/>
    </xf>
    <xf numFmtId="0" fontId="6" fillId="25" borderId="10" xfId="0" applyFont="1" applyFill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3" fontId="17" fillId="0" borderId="10" xfId="0" applyNumberFormat="1" applyFont="1" applyBorder="1" applyAlignment="1">
      <alignment horizontal="right" wrapText="1"/>
    </xf>
    <xf numFmtId="0" fontId="17" fillId="0" borderId="19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 wrapText="1"/>
      <protection/>
    </xf>
    <xf numFmtId="2" fontId="11" fillId="0" borderId="10" xfId="0" applyNumberFormat="1" applyFont="1" applyFill="1" applyBorder="1" applyAlignment="1" applyProtection="1">
      <alignment horizontal="center" wrapText="1"/>
      <protection/>
    </xf>
    <xf numFmtId="0" fontId="6" fillId="25" borderId="1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 horizontal="center" wrapText="1"/>
      <protection/>
    </xf>
    <xf numFmtId="1" fontId="21" fillId="0" borderId="22" xfId="0" applyNumberFormat="1" applyFont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 horizontal="center" wrapText="1"/>
      <protection/>
    </xf>
    <xf numFmtId="1" fontId="21" fillId="0" borderId="23" xfId="0" applyNumberFormat="1" applyFont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 horizontal="center" wrapText="1"/>
      <protection/>
    </xf>
    <xf numFmtId="1" fontId="21" fillId="0" borderId="24" xfId="0" applyNumberFormat="1" applyFont="1" applyBorder="1" applyAlignment="1" applyProtection="1">
      <alignment/>
      <protection locked="0"/>
    </xf>
    <xf numFmtId="0" fontId="7" fillId="24" borderId="25" xfId="0" applyFont="1" applyFill="1" applyBorder="1" applyAlignment="1">
      <alignment horizontal="center" wrapText="1"/>
    </xf>
    <xf numFmtId="0" fontId="7" fillId="24" borderId="26" xfId="0" applyFont="1" applyFill="1" applyBorder="1" applyAlignment="1">
      <alignment horizontal="center" wrapText="1"/>
    </xf>
    <xf numFmtId="0" fontId="7" fillId="24" borderId="27" xfId="0" applyFont="1" applyFill="1" applyBorder="1" applyAlignment="1">
      <alignment horizontal="center" wrapText="1"/>
    </xf>
    <xf numFmtId="0" fontId="7" fillId="24" borderId="28" xfId="0" applyFont="1" applyFill="1" applyBorder="1" applyAlignment="1">
      <alignment horizontal="center" wrapText="1"/>
    </xf>
    <xf numFmtId="0" fontId="7" fillId="24" borderId="29" xfId="0" applyFont="1" applyFill="1" applyBorder="1" applyAlignment="1">
      <alignment wrapText="1"/>
    </xf>
    <xf numFmtId="0" fontId="7" fillId="24" borderId="28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2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29" xfId="0" applyFont="1" applyBorder="1" applyAlignment="1">
      <alignment horizontal="left" vertical="center"/>
    </xf>
    <xf numFmtId="3" fontId="11" fillId="0" borderId="10" xfId="0" applyNumberFormat="1" applyFont="1" applyFill="1" applyBorder="1" applyAlignment="1" applyProtection="1">
      <alignment horizontal="center" wrapText="1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10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11" fillId="0" borderId="13" xfId="0" applyNumberFormat="1" applyFont="1" applyFill="1" applyBorder="1" applyAlignment="1">
      <alignment wrapText="1"/>
    </xf>
    <xf numFmtId="3" fontId="0" fillId="0" borderId="15" xfId="15" applyNumberFormat="1" applyFont="1" applyBorder="1" applyAlignment="1">
      <alignment/>
    </xf>
    <xf numFmtId="3" fontId="0" fillId="0" borderId="18" xfId="15" applyNumberFormat="1" applyFont="1" applyBorder="1" applyAlignment="1">
      <alignment/>
    </xf>
    <xf numFmtId="3" fontId="0" fillId="0" borderId="19" xfId="15" applyNumberFormat="1" applyFont="1" applyBorder="1" applyAlignment="1">
      <alignment/>
    </xf>
    <xf numFmtId="2" fontId="11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2" fontId="17" fillId="0" borderId="10" xfId="0" applyNumberFormat="1" applyFont="1" applyBorder="1" applyAlignment="1">
      <alignment horizontal="center"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1" fontId="1" fillId="0" borderId="0" xfId="0" applyNumberFormat="1" applyFont="1" applyBorder="1" applyAlignment="1">
      <alignment vertical="center"/>
    </xf>
    <xf numFmtId="1" fontId="7" fillId="24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/>
    </xf>
    <xf numFmtId="0" fontId="13" fillId="25" borderId="16" xfId="0" applyFont="1" applyFill="1" applyBorder="1" applyAlignment="1" applyProtection="1">
      <alignment horizontal="left" wrapText="1"/>
      <protection/>
    </xf>
    <xf numFmtId="0" fontId="13" fillId="25" borderId="14" xfId="0" applyFont="1" applyFill="1" applyBorder="1" applyAlignment="1" applyProtection="1">
      <alignment wrapText="1"/>
      <protection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0" fontId="4" fillId="17" borderId="10" xfId="0" applyFont="1" applyFill="1" applyBorder="1" applyAlignment="1">
      <alignment horizontal="left" vertical="center" wrapText="1"/>
    </xf>
    <xf numFmtId="0" fontId="4" fillId="17" borderId="10" xfId="0" applyFont="1" applyFill="1" applyBorder="1" applyAlignment="1">
      <alignment vertical="center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3" fontId="0" fillId="0" borderId="30" xfId="0" applyNumberFormat="1" applyFont="1" applyFill="1" applyBorder="1" applyAlignment="1" applyProtection="1">
      <alignment horizontal="right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/>
    </xf>
    <xf numFmtId="3" fontId="0" fillId="0" borderId="32" xfId="0" applyNumberFormat="1" applyFont="1" applyFill="1" applyBorder="1" applyAlignment="1" applyProtection="1">
      <alignment horizontal="right" wrapText="1"/>
      <protection/>
    </xf>
    <xf numFmtId="3" fontId="0" fillId="0" borderId="33" xfId="0" applyNumberFormat="1" applyFont="1" applyFill="1" applyBorder="1" applyAlignment="1" applyProtection="1">
      <alignment horizontal="right" wrapText="1"/>
      <protection/>
    </xf>
    <xf numFmtId="0" fontId="4" fillId="25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vertical="center"/>
    </xf>
    <xf numFmtId="0" fontId="4" fillId="17" borderId="10" xfId="0" applyFont="1" applyFill="1" applyBorder="1" applyAlignment="1">
      <alignment horizontal="center" vertical="center"/>
    </xf>
    <xf numFmtId="1" fontId="4" fillId="17" borderId="10" xfId="0" applyNumberFormat="1" applyFont="1" applyFill="1" applyBorder="1" applyAlignment="1" quotePrefix="1">
      <alignment horizontal="center" vertical="center"/>
    </xf>
    <xf numFmtId="1" fontId="4" fillId="17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/>
    </xf>
    <xf numFmtId="0" fontId="6" fillId="25" borderId="19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7" borderId="22" xfId="0" applyNumberFormat="1" applyFont="1" applyFill="1" applyBorder="1" applyAlignment="1" applyProtection="1" quotePrefix="1">
      <alignment horizontal="center" wrapText="1"/>
      <protection/>
    </xf>
    <xf numFmtId="1" fontId="0" fillId="7" borderId="23" xfId="0" applyNumberFormat="1" applyFont="1" applyFill="1" applyBorder="1" applyAlignment="1" applyProtection="1" quotePrefix="1">
      <alignment horizontal="center" wrapText="1"/>
      <protection/>
    </xf>
    <xf numFmtId="49" fontId="0" fillId="0" borderId="20" xfId="0" applyNumberFormat="1" applyBorder="1" applyAlignment="1" applyProtection="1">
      <alignment horizontal="center"/>
      <protection locked="0"/>
    </xf>
    <xf numFmtId="1" fontId="0" fillId="7" borderId="23" xfId="0" applyNumberFormat="1" applyFont="1" applyFill="1" applyBorder="1" applyAlignment="1" applyProtection="1" quotePrefix="1">
      <alignment horizontal="center" wrapText="1"/>
      <protection/>
    </xf>
    <xf numFmtId="1" fontId="0" fillId="7" borderId="22" xfId="0" applyNumberFormat="1" applyFont="1" applyFill="1" applyBorder="1" applyAlignment="1" applyProtection="1" quotePrefix="1">
      <alignment horizontal="center" wrapText="1"/>
      <protection/>
    </xf>
    <xf numFmtId="1" fontId="0" fillId="0" borderId="34" xfId="0" applyNumberFormat="1" applyFont="1" applyFill="1" applyBorder="1" applyAlignment="1" applyProtection="1">
      <alignment horizontal="center" wrapText="1"/>
      <protection/>
    </xf>
    <xf numFmtId="1" fontId="0" fillId="0" borderId="30" xfId="0" applyNumberFormat="1" applyFont="1" applyFill="1" applyBorder="1" applyAlignment="1" applyProtection="1">
      <alignment horizontal="center" wrapText="1"/>
      <protection/>
    </xf>
    <xf numFmtId="1" fontId="0" fillId="0" borderId="35" xfId="0" applyNumberFormat="1" applyFont="1" applyFill="1" applyBorder="1" applyAlignment="1" applyProtection="1">
      <alignment horizontal="center" wrapText="1"/>
      <protection/>
    </xf>
    <xf numFmtId="0" fontId="22" fillId="0" borderId="36" xfId="0" applyFont="1" applyBorder="1" applyAlignment="1" applyProtection="1">
      <alignment/>
      <protection locked="0"/>
    </xf>
    <xf numFmtId="0" fontId="22" fillId="0" borderId="37" xfId="0" applyFont="1" applyBorder="1" applyAlignment="1" applyProtection="1">
      <alignment/>
      <protection locked="0"/>
    </xf>
    <xf numFmtId="0" fontId="22" fillId="0" borderId="38" xfId="0" applyFont="1" applyBorder="1" applyAlignment="1" applyProtection="1">
      <alignment/>
      <protection locked="0"/>
    </xf>
    <xf numFmtId="1" fontId="21" fillId="0" borderId="39" xfId="0" applyNumberFormat="1" applyFont="1" applyBorder="1" applyAlignment="1" applyProtection="1">
      <alignment/>
      <protection locked="0"/>
    </xf>
    <xf numFmtId="1" fontId="21" fillId="0" borderId="31" xfId="0" applyNumberFormat="1" applyFont="1" applyBorder="1" applyAlignment="1" applyProtection="1">
      <alignment/>
      <protection locked="0"/>
    </xf>
    <xf numFmtId="1" fontId="21" fillId="0" borderId="40" xfId="0" applyNumberFormat="1" applyFont="1" applyBorder="1" applyAlignment="1" applyProtection="1">
      <alignment/>
      <protection locked="0"/>
    </xf>
    <xf numFmtId="1" fontId="0" fillId="0" borderId="41" xfId="0" applyNumberFormat="1" applyFont="1" applyBorder="1" applyAlignment="1" applyProtection="1">
      <alignment/>
      <protection locked="0"/>
    </xf>
    <xf numFmtId="1" fontId="0" fillId="0" borderId="42" xfId="0" applyNumberFormat="1" applyFont="1" applyBorder="1" applyAlignment="1" applyProtection="1">
      <alignment/>
      <protection locked="0"/>
    </xf>
    <xf numFmtId="1" fontId="0" fillId="0" borderId="43" xfId="0" applyNumberFormat="1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22" fillId="0" borderId="4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1" fontId="0" fillId="7" borderId="34" xfId="0" applyNumberFormat="1" applyFont="1" applyFill="1" applyBorder="1" applyAlignment="1" applyProtection="1" quotePrefix="1">
      <alignment horizontal="center" wrapText="1"/>
      <protection/>
    </xf>
    <xf numFmtId="1" fontId="17" fillId="0" borderId="10" xfId="0" applyNumberFormat="1" applyFont="1" applyBorder="1" applyAlignment="1">
      <alignment horizont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45" xfId="0" applyFont="1" applyFill="1" applyBorder="1" applyAlignment="1">
      <alignment horizontal="center" vertical="center"/>
    </xf>
    <xf numFmtId="0" fontId="12" fillId="25" borderId="46" xfId="0" applyFont="1" applyFill="1" applyBorder="1" applyAlignment="1">
      <alignment horizontal="center" vertical="center"/>
    </xf>
    <xf numFmtId="0" fontId="12" fillId="25" borderId="47" xfId="0" applyFont="1" applyFill="1" applyBorder="1" applyAlignment="1">
      <alignment horizontal="center" vertical="center"/>
    </xf>
    <xf numFmtId="0" fontId="12" fillId="25" borderId="4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4" fillId="4" borderId="46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center" vertical="center"/>
    </xf>
    <xf numFmtId="0" fontId="24" fillId="4" borderId="4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8" fillId="18" borderId="29" xfId="0" applyFont="1" applyFill="1" applyBorder="1" applyAlignment="1">
      <alignment horizontal="center"/>
    </xf>
    <xf numFmtId="0" fontId="18" fillId="18" borderId="2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18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171450</xdr:rowOff>
    </xdr:from>
    <xdr:to>
      <xdr:col>1</xdr:col>
      <xdr:colOff>685800</xdr:colOff>
      <xdr:row>1</xdr:row>
      <xdr:rowOff>685800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295275</xdr:colOff>
      <xdr:row>1</xdr:row>
      <xdr:rowOff>190500</xdr:rowOff>
    </xdr:from>
    <xdr:to>
      <xdr:col>1</xdr:col>
      <xdr:colOff>828675</xdr:colOff>
      <xdr:row>1</xdr:row>
      <xdr:rowOff>704850</xdr:rowOff>
    </xdr:to>
    <xdr:pic>
      <xdr:nvPicPr>
        <xdr:cNvPr id="2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4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1</xdr:row>
      <xdr:rowOff>171450</xdr:rowOff>
    </xdr:from>
    <xdr:to>
      <xdr:col>1</xdr:col>
      <xdr:colOff>685800</xdr:colOff>
      <xdr:row>1</xdr:row>
      <xdr:rowOff>676275</xdr:rowOff>
    </xdr:to>
    <xdr:pic>
      <xdr:nvPicPr>
        <xdr:cNvPr id="3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10</xdr:row>
      <xdr:rowOff>76200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10610850" y="3000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180975</xdr:rowOff>
    </xdr:from>
    <xdr:to>
      <xdr:col>1</xdr:col>
      <xdr:colOff>828675</xdr:colOff>
      <xdr:row>1</xdr:row>
      <xdr:rowOff>695325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95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1</xdr:row>
      <xdr:rowOff>171450</xdr:rowOff>
    </xdr:from>
    <xdr:to>
      <xdr:col>1</xdr:col>
      <xdr:colOff>685800</xdr:colOff>
      <xdr:row>1</xdr:row>
      <xdr:rowOff>676275</xdr:rowOff>
    </xdr:to>
    <xdr:pic>
      <xdr:nvPicPr>
        <xdr:cNvPr id="2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352425</xdr:colOff>
      <xdr:row>1</xdr:row>
      <xdr:rowOff>28575</xdr:rowOff>
    </xdr:from>
    <xdr:to>
      <xdr:col>1</xdr:col>
      <xdr:colOff>1114425</xdr:colOff>
      <xdr:row>2</xdr:row>
      <xdr:rowOff>342900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476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171450</xdr:colOff>
      <xdr:row>0</xdr:row>
      <xdr:rowOff>104775</xdr:rowOff>
    </xdr:from>
    <xdr:to>
      <xdr:col>1</xdr:col>
      <xdr:colOff>933450</xdr:colOff>
      <xdr:row>2</xdr:row>
      <xdr:rowOff>0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0</xdr:row>
      <xdr:rowOff>76200</xdr:rowOff>
    </xdr:from>
    <xdr:to>
      <xdr:col>1</xdr:col>
      <xdr:colOff>857250</xdr:colOff>
      <xdr:row>1</xdr:row>
      <xdr:rowOff>390525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0</xdr:row>
      <xdr:rowOff>47625</xdr:rowOff>
    </xdr:from>
    <xdr:to>
      <xdr:col>1</xdr:col>
      <xdr:colOff>914400</xdr:colOff>
      <xdr:row>1</xdr:row>
      <xdr:rowOff>361950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114300</xdr:colOff>
      <xdr:row>0</xdr:row>
      <xdr:rowOff>66675</xdr:rowOff>
    </xdr:from>
    <xdr:to>
      <xdr:col>1</xdr:col>
      <xdr:colOff>876300</xdr:colOff>
      <xdr:row>1</xdr:row>
      <xdr:rowOff>381000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66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171450</xdr:colOff>
      <xdr:row>0</xdr:row>
      <xdr:rowOff>76200</xdr:rowOff>
    </xdr:from>
    <xdr:to>
      <xdr:col>1</xdr:col>
      <xdr:colOff>933450</xdr:colOff>
      <xdr:row>1</xdr:row>
      <xdr:rowOff>390525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620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0</xdr:row>
      <xdr:rowOff>66675</xdr:rowOff>
    </xdr:from>
    <xdr:to>
      <xdr:col>1</xdr:col>
      <xdr:colOff>914400</xdr:colOff>
      <xdr:row>1</xdr:row>
      <xdr:rowOff>381000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66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0</xdr:row>
      <xdr:rowOff>57150</xdr:rowOff>
    </xdr:from>
    <xdr:to>
      <xdr:col>1</xdr:col>
      <xdr:colOff>838200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190500</xdr:rowOff>
    </xdr:from>
    <xdr:to>
      <xdr:col>1</xdr:col>
      <xdr:colOff>685800</xdr:colOff>
      <xdr:row>1</xdr:row>
      <xdr:rowOff>800100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048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114300</xdr:colOff>
      <xdr:row>0</xdr:row>
      <xdr:rowOff>57150</xdr:rowOff>
    </xdr:from>
    <xdr:to>
      <xdr:col>1</xdr:col>
      <xdr:colOff>876300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85725</xdr:colOff>
      <xdr:row>0</xdr:row>
      <xdr:rowOff>76200</xdr:rowOff>
    </xdr:from>
    <xdr:to>
      <xdr:col>1</xdr:col>
      <xdr:colOff>847725</xdr:colOff>
      <xdr:row>1</xdr:row>
      <xdr:rowOff>390525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76200</xdr:rowOff>
    </xdr:from>
    <xdr:to>
      <xdr:col>1</xdr:col>
      <xdr:colOff>904875</xdr:colOff>
      <xdr:row>1</xdr:row>
      <xdr:rowOff>390525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47625</xdr:rowOff>
    </xdr:from>
    <xdr:to>
      <xdr:col>1</xdr:col>
      <xdr:colOff>904875</xdr:colOff>
      <xdr:row>1</xdr:row>
      <xdr:rowOff>361950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104775</xdr:colOff>
      <xdr:row>0</xdr:row>
      <xdr:rowOff>47625</xdr:rowOff>
    </xdr:from>
    <xdr:to>
      <xdr:col>1</xdr:col>
      <xdr:colOff>866775</xdr:colOff>
      <xdr:row>1</xdr:row>
      <xdr:rowOff>361950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76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133350</xdr:colOff>
      <xdr:row>0</xdr:row>
      <xdr:rowOff>76200</xdr:rowOff>
    </xdr:from>
    <xdr:to>
      <xdr:col>1</xdr:col>
      <xdr:colOff>895350</xdr:colOff>
      <xdr:row>1</xdr:row>
      <xdr:rowOff>390525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620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5146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162800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7432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0</xdr:row>
      <xdr:rowOff>19050</xdr:rowOff>
    </xdr:from>
    <xdr:to>
      <xdr:col>1</xdr:col>
      <xdr:colOff>914400</xdr:colOff>
      <xdr:row>2</xdr:row>
      <xdr:rowOff>95250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29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162800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162800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285750</xdr:rowOff>
    </xdr:from>
    <xdr:to>
      <xdr:col>1</xdr:col>
      <xdr:colOff>733425</xdr:colOff>
      <xdr:row>1</xdr:row>
      <xdr:rowOff>800100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42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200025</xdr:colOff>
      <xdr:row>1</xdr:row>
      <xdr:rowOff>285750</xdr:rowOff>
    </xdr:from>
    <xdr:to>
      <xdr:col>6</xdr:col>
      <xdr:colOff>733425</xdr:colOff>
      <xdr:row>1</xdr:row>
      <xdr:rowOff>800100</xdr:rowOff>
    </xdr:to>
    <xdr:pic>
      <xdr:nvPicPr>
        <xdr:cNvPr id="2" name="Picture 3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42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9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8124825" y="26955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52500" cy="9144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8124825" y="29241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0</xdr:row>
      <xdr:rowOff>57150</xdr:rowOff>
    </xdr:from>
    <xdr:to>
      <xdr:col>1</xdr:col>
      <xdr:colOff>904875</xdr:colOff>
      <xdr:row>1</xdr:row>
      <xdr:rowOff>371475</xdr:rowOff>
    </xdr:to>
    <xdr:pic>
      <xdr:nvPicPr>
        <xdr:cNvPr id="4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52500" cy="847725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8124825" y="764857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4733925" y="22383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00" cy="914400"/>
    <xdr:sp>
      <xdr:nvSpPr>
        <xdr:cNvPr id="8" name="AutoShape 1" descr="000601c528b3$8334cda0$2302a8c0@ehc7rtu3eub91y"/>
        <xdr:cNvSpPr>
          <a:spLocks noChangeAspect="1"/>
        </xdr:cNvSpPr>
      </xdr:nvSpPr>
      <xdr:spPr>
        <a:xfrm>
          <a:off x="4733925" y="246697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showZeros="0" tabSelected="1" zoomScale="85" zoomScaleNormal="85" zoomScalePageLayoutView="0" workbookViewId="0" topLeftCell="B1">
      <selection activeCell="R17" sqref="R17"/>
    </sheetView>
  </sheetViews>
  <sheetFormatPr defaultColWidth="9.140625" defaultRowHeight="12.75"/>
  <cols>
    <col min="1" max="1" width="4.7109375" style="1" hidden="1" customWidth="1"/>
    <col min="2" max="2" width="4.7109375" style="1" customWidth="1"/>
    <col min="3" max="3" width="10.7109375" style="27" customWidth="1"/>
    <col min="4" max="4" width="6.8515625" style="2" customWidth="1"/>
    <col min="5" max="5" width="5.421875" style="2" customWidth="1"/>
    <col min="6" max="6" width="4.7109375" style="1" customWidth="1"/>
    <col min="7" max="7" width="10.7109375" style="1" customWidth="1"/>
    <col min="8" max="8" width="12.421875" style="28" customWidth="1"/>
    <col min="9" max="9" width="5.57421875" style="1" customWidth="1"/>
    <col min="10" max="10" width="4.7109375" style="1" customWidth="1"/>
    <col min="11" max="11" width="10.7109375" style="1" customWidth="1"/>
    <col min="12" max="12" width="8.140625" style="153" customWidth="1"/>
    <col min="13" max="13" width="5.7109375" style="1" customWidth="1"/>
    <col min="14" max="14" width="4.7109375" style="1" customWidth="1"/>
    <col min="15" max="15" width="9.8515625" style="1" customWidth="1"/>
    <col min="16" max="16" width="9.7109375" style="153" customWidth="1"/>
    <col min="17" max="16384" width="9.140625" style="1" customWidth="1"/>
  </cols>
  <sheetData>
    <row r="1" spans="2:16" ht="34.5" customHeight="1">
      <c r="B1" s="237" t="s">
        <v>135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2:16" s="155" customFormat="1" ht="16.5" thickBot="1">
      <c r="B2" s="238" t="s">
        <v>22</v>
      </c>
      <c r="C2" s="239"/>
      <c r="D2" s="240"/>
      <c r="E2" s="154"/>
      <c r="F2" s="238" t="s">
        <v>23</v>
      </c>
      <c r="G2" s="239"/>
      <c r="H2" s="240"/>
      <c r="J2" s="238" t="s">
        <v>24</v>
      </c>
      <c r="K2" s="239"/>
      <c r="L2" s="240"/>
      <c r="N2" s="238" t="s">
        <v>25</v>
      </c>
      <c r="O2" s="239"/>
      <c r="P2" s="240"/>
    </row>
    <row r="3" spans="2:16" ht="18" customHeight="1">
      <c r="B3" s="13">
        <v>1</v>
      </c>
      <c r="C3" s="14" t="str">
        <f>Point!B3</f>
        <v>Børge</v>
      </c>
      <c r="D3" s="15">
        <f>Point!C3</f>
        <v>142</v>
      </c>
      <c r="E3" s="8"/>
      <c r="F3" s="13">
        <v>1</v>
      </c>
      <c r="G3" s="16" t="str">
        <f>Money!B3</f>
        <v>Robin</v>
      </c>
      <c r="H3" s="144">
        <f>Money!C3</f>
        <v>25305000</v>
      </c>
      <c r="I3" s="8"/>
      <c r="J3" s="13">
        <v>1</v>
      </c>
      <c r="K3" s="14" t="str">
        <f>Puts!B3</f>
        <v>Per J.</v>
      </c>
      <c r="L3" s="148">
        <f>Puts!C3</f>
        <v>29.61111111111111</v>
      </c>
      <c r="M3" s="8"/>
      <c r="N3" s="13">
        <v>1</v>
      </c>
      <c r="O3" s="14" t="str">
        <f>'Tæt-flag'!B3</f>
        <v>Børge</v>
      </c>
      <c r="P3" s="148">
        <f>'Tæt-flag'!C3</f>
        <v>1.09</v>
      </c>
    </row>
    <row r="4" spans="2:16" ht="18" customHeight="1">
      <c r="B4" s="17">
        <v>2</v>
      </c>
      <c r="C4" s="18" t="str">
        <f>Point!B4</f>
        <v>Robin</v>
      </c>
      <c r="D4" s="19">
        <f>Point!C4</f>
        <v>128</v>
      </c>
      <c r="E4" s="8"/>
      <c r="F4" s="17">
        <v>2</v>
      </c>
      <c r="G4" s="18" t="str">
        <f>Money!B4</f>
        <v>Børge</v>
      </c>
      <c r="H4" s="145">
        <f>Money!C4</f>
        <v>24140000</v>
      </c>
      <c r="I4" s="8"/>
      <c r="J4" s="17">
        <v>2</v>
      </c>
      <c r="K4" s="18" t="str">
        <f>Puts!B4</f>
        <v>Robin</v>
      </c>
      <c r="L4" s="149">
        <f>Puts!C4</f>
        <v>31.555555555555557</v>
      </c>
      <c r="M4" s="8"/>
      <c r="N4" s="17">
        <v>2</v>
      </c>
      <c r="O4" s="18" t="str">
        <f>'Tæt-flag'!B4</f>
        <v>Carsten L</v>
      </c>
      <c r="P4" s="149">
        <f>'Tæt-flag'!C4</f>
        <v>1.75</v>
      </c>
    </row>
    <row r="5" spans="2:16" ht="18" customHeight="1" thickBot="1">
      <c r="B5" s="20">
        <v>3</v>
      </c>
      <c r="C5" s="21" t="str">
        <f>Point!B5</f>
        <v>Carsten D.</v>
      </c>
      <c r="D5" s="22">
        <f>Point!C5</f>
        <v>97</v>
      </c>
      <c r="E5" s="8"/>
      <c r="F5" s="20">
        <v>3</v>
      </c>
      <c r="G5" s="21" t="str">
        <f>Money!B5</f>
        <v>Morten</v>
      </c>
      <c r="H5" s="146">
        <f>Money!C5</f>
        <v>15775000</v>
      </c>
      <c r="I5" s="8"/>
      <c r="J5" s="20">
        <v>3</v>
      </c>
      <c r="K5" s="21" t="str">
        <f>Puts!B5</f>
        <v>Børge</v>
      </c>
      <c r="L5" s="150">
        <f>Puts!C5</f>
        <v>32</v>
      </c>
      <c r="M5" s="8"/>
      <c r="N5" s="20">
        <v>3</v>
      </c>
      <c r="O5" s="21" t="str">
        <f>'Tæt-flag'!B5</f>
        <v>Per N.</v>
      </c>
      <c r="P5" s="150">
        <f>'Tæt-flag'!C5</f>
        <v>2.1</v>
      </c>
    </row>
    <row r="6" spans="2:16" ht="18" customHeight="1">
      <c r="B6" s="23">
        <v>4</v>
      </c>
      <c r="C6" s="24" t="str">
        <f>Point!B6</f>
        <v>Per J.</v>
      </c>
      <c r="D6" s="25">
        <f>Point!C6</f>
        <v>93</v>
      </c>
      <c r="E6" s="8"/>
      <c r="F6" s="23">
        <v>4</v>
      </c>
      <c r="G6" s="24" t="str">
        <f>Money!B6</f>
        <v>Per J.</v>
      </c>
      <c r="H6" s="147">
        <f>Money!C6</f>
        <v>14997500</v>
      </c>
      <c r="I6" s="8"/>
      <c r="J6" s="23">
        <v>4</v>
      </c>
      <c r="K6" s="18" t="str">
        <f>Puts!B6</f>
        <v>Carsten L.</v>
      </c>
      <c r="L6" s="151">
        <f>Puts!C6</f>
        <v>33</v>
      </c>
      <c r="M6" s="8"/>
      <c r="N6" s="23">
        <v>4</v>
      </c>
      <c r="O6" s="24" t="str">
        <f>'Tæt-flag'!B6</f>
        <v>Robin</v>
      </c>
      <c r="P6" s="151">
        <f>'Tæt-flag'!C6</f>
        <v>2.11</v>
      </c>
    </row>
    <row r="7" spans="2:16" ht="18" customHeight="1">
      <c r="B7" s="26">
        <v>5</v>
      </c>
      <c r="C7" s="24" t="str">
        <f>Point!B7</f>
        <v>Morten</v>
      </c>
      <c r="D7" s="25">
        <f>Point!C7</f>
        <v>93</v>
      </c>
      <c r="E7" s="8"/>
      <c r="F7" s="26">
        <v>5</v>
      </c>
      <c r="G7" s="24" t="str">
        <f>Money!B7</f>
        <v>Carsten D.</v>
      </c>
      <c r="H7" s="147">
        <f>Money!C7</f>
        <v>14537500</v>
      </c>
      <c r="I7" s="8"/>
      <c r="J7" s="26">
        <v>5</v>
      </c>
      <c r="K7" s="18" t="str">
        <f>Puts!B7</f>
        <v>Morten</v>
      </c>
      <c r="L7" s="152">
        <f>Puts!C7</f>
        <v>34.166666666666664</v>
      </c>
      <c r="M7" s="8"/>
      <c r="N7" s="26">
        <v>5</v>
      </c>
      <c r="O7" s="18" t="str">
        <f>'Tæt-flag'!B7</f>
        <v>Per J.</v>
      </c>
      <c r="P7" s="152">
        <f>'Tæt-flag'!C7</f>
        <v>2.45</v>
      </c>
    </row>
    <row r="8" spans="2:16" ht="18" customHeight="1">
      <c r="B8" s="26">
        <v>6</v>
      </c>
      <c r="C8" s="24" t="str">
        <f>Point!B8</f>
        <v>Carsten L.</v>
      </c>
      <c r="D8" s="25">
        <f>Point!C8</f>
        <v>76</v>
      </c>
      <c r="E8" s="8"/>
      <c r="F8" s="26">
        <v>6</v>
      </c>
      <c r="G8" s="24" t="str">
        <f>Money!B8</f>
        <v>Carsten L.</v>
      </c>
      <c r="H8" s="147">
        <f>Money!C8</f>
        <v>12862500</v>
      </c>
      <c r="I8" s="8"/>
      <c r="J8" s="26">
        <v>6</v>
      </c>
      <c r="K8" s="18" t="str">
        <f>Puts!B8</f>
        <v>Kristian P.</v>
      </c>
      <c r="L8" s="152">
        <f>Puts!C8</f>
        <v>34.55555555555556</v>
      </c>
      <c r="M8" s="8"/>
      <c r="N8" s="26">
        <v>6</v>
      </c>
      <c r="O8" s="18" t="str">
        <f>'Tæt-flag'!B8</f>
        <v>Peter</v>
      </c>
      <c r="P8" s="152">
        <f>'Tæt-flag'!C8</f>
        <v>2.52</v>
      </c>
    </row>
    <row r="9" spans="2:16" ht="18" customHeight="1">
      <c r="B9" s="26">
        <v>7</v>
      </c>
      <c r="C9" s="24" t="str">
        <f>Point!B9</f>
        <v>Jens</v>
      </c>
      <c r="D9" s="25">
        <f>Point!C9</f>
        <v>71</v>
      </c>
      <c r="E9" s="8"/>
      <c r="F9" s="26">
        <v>7</v>
      </c>
      <c r="G9" s="24" t="str">
        <f>Money!B9</f>
        <v>Per N.</v>
      </c>
      <c r="H9" s="147">
        <f>Money!C9</f>
        <v>10302500</v>
      </c>
      <c r="I9" s="8"/>
      <c r="J9" s="26">
        <v>7</v>
      </c>
      <c r="K9" s="18" t="str">
        <f>Puts!B9</f>
        <v>Peter</v>
      </c>
      <c r="L9" s="152">
        <f>Puts!C9</f>
        <v>34.833333333333336</v>
      </c>
      <c r="M9" s="8"/>
      <c r="N9" s="26">
        <v>7</v>
      </c>
      <c r="O9" s="18" t="str">
        <f>'Tæt-flag'!B9</f>
        <v>Per J.</v>
      </c>
      <c r="P9" s="152">
        <f>'Tæt-flag'!C9</f>
        <v>2.57</v>
      </c>
    </row>
    <row r="10" spans="2:16" ht="18" customHeight="1">
      <c r="B10" s="26">
        <v>8</v>
      </c>
      <c r="C10" s="24" t="str">
        <f>Point!B10</f>
        <v>Per N.</v>
      </c>
      <c r="D10" s="25">
        <f>Point!C10</f>
        <v>68</v>
      </c>
      <c r="E10" s="8"/>
      <c r="F10" s="26">
        <v>8</v>
      </c>
      <c r="G10" s="24" t="str">
        <f>Money!B10</f>
        <v>Kristian P.</v>
      </c>
      <c r="H10" s="147">
        <f>Money!C10</f>
        <v>10260000</v>
      </c>
      <c r="I10" s="8"/>
      <c r="J10" s="26">
        <v>8</v>
      </c>
      <c r="K10" s="18" t="str">
        <f>Puts!B10</f>
        <v>Erik</v>
      </c>
      <c r="L10" s="152">
        <f>Puts!C10</f>
        <v>35.111111111111114</v>
      </c>
      <c r="M10" s="8"/>
      <c r="N10" s="26">
        <v>8</v>
      </c>
      <c r="O10" s="18" t="str">
        <f>'Tæt-flag'!B10</f>
        <v>Ivar</v>
      </c>
      <c r="P10" s="152">
        <f>'Tæt-flag'!C10</f>
        <v>2.75</v>
      </c>
    </row>
    <row r="11" spans="2:16" ht="18" customHeight="1">
      <c r="B11" s="26">
        <v>9</v>
      </c>
      <c r="C11" s="24" t="str">
        <f>Point!B11</f>
        <v>Kristian P.</v>
      </c>
      <c r="D11" s="25">
        <f>Point!C11</f>
        <v>67</v>
      </c>
      <c r="E11" s="8"/>
      <c r="F11" s="26">
        <v>9</v>
      </c>
      <c r="G11" s="24" t="str">
        <f>Money!B11</f>
        <v>Jens</v>
      </c>
      <c r="H11" s="147">
        <f>Money!C11</f>
        <v>9837500</v>
      </c>
      <c r="I11" s="8"/>
      <c r="J11" s="26">
        <v>9</v>
      </c>
      <c r="K11" s="18" t="str">
        <f>Puts!B11</f>
        <v>Jesper N.</v>
      </c>
      <c r="L11" s="152">
        <f>Puts!C11</f>
        <v>35.388888888888886</v>
      </c>
      <c r="M11" s="8"/>
      <c r="N11" s="26">
        <v>9</v>
      </c>
      <c r="O11" s="18" t="str">
        <f>'Tæt-flag'!B11</f>
        <v>Per J.</v>
      </c>
      <c r="P11" s="152">
        <f>'Tæt-flag'!C11</f>
        <v>3.25</v>
      </c>
    </row>
    <row r="12" spans="2:16" ht="18" customHeight="1">
      <c r="B12" s="26">
        <v>10</v>
      </c>
      <c r="C12" s="24" t="str">
        <f>Point!B12</f>
        <v>Finn</v>
      </c>
      <c r="D12" s="25">
        <f>Point!C12</f>
        <v>62</v>
      </c>
      <c r="E12" s="8"/>
      <c r="F12" s="26">
        <v>10</v>
      </c>
      <c r="G12" s="24" t="str">
        <f>Money!B12</f>
        <v>Kristian D.</v>
      </c>
      <c r="H12" s="147">
        <f>Money!C12</f>
        <v>9682500</v>
      </c>
      <c r="I12" s="8"/>
      <c r="J12" s="26">
        <v>10</v>
      </c>
      <c r="K12" s="18" t="str">
        <f>Puts!B12</f>
        <v>Søren</v>
      </c>
      <c r="L12" s="152">
        <f>Puts!C12</f>
        <v>35.666666666666664</v>
      </c>
      <c r="M12" s="8"/>
      <c r="N12" s="26">
        <v>10</v>
      </c>
      <c r="O12" s="18" t="str">
        <f>'Tæt-flag'!B12</f>
        <v>Carsten L.</v>
      </c>
      <c r="P12" s="152">
        <f>'Tæt-flag'!C12</f>
        <v>3.27</v>
      </c>
    </row>
    <row r="13" spans="2:16" ht="18" customHeight="1">
      <c r="B13" s="26">
        <v>11</v>
      </c>
      <c r="C13" s="24" t="str">
        <f>Point!B13</f>
        <v>Kristian D.</v>
      </c>
      <c r="D13" s="25">
        <f>Point!C13</f>
        <v>60</v>
      </c>
      <c r="E13" s="8"/>
      <c r="F13" s="26">
        <v>11</v>
      </c>
      <c r="G13" s="24" t="str">
        <f>Money!B13</f>
        <v>Finn</v>
      </c>
      <c r="H13" s="147">
        <f>Money!C13</f>
        <v>9182500</v>
      </c>
      <c r="I13" s="8"/>
      <c r="J13" s="26">
        <v>11</v>
      </c>
      <c r="K13" s="18" t="str">
        <f>Puts!B13</f>
        <v>Carsten D.</v>
      </c>
      <c r="L13" s="152">
        <f>Puts!C13</f>
        <v>35.666666666666664</v>
      </c>
      <c r="M13" s="8"/>
      <c r="N13" s="26">
        <v>11</v>
      </c>
      <c r="O13" s="18" t="str">
        <f>'Tæt-flag'!B13</f>
        <v>Kristian D.</v>
      </c>
      <c r="P13" s="152">
        <f>'Tæt-flag'!C13</f>
        <v>3.76</v>
      </c>
    </row>
    <row r="14" spans="2:16" ht="18" customHeight="1">
      <c r="B14" s="26">
        <v>12</v>
      </c>
      <c r="C14" s="24" t="str">
        <f>Point!B14</f>
        <v>John</v>
      </c>
      <c r="D14" s="25">
        <f>Point!C14</f>
        <v>58</v>
      </c>
      <c r="E14" s="8"/>
      <c r="F14" s="26">
        <v>12</v>
      </c>
      <c r="G14" s="24" t="str">
        <f>Money!B14</f>
        <v>John</v>
      </c>
      <c r="H14" s="147">
        <f>Money!C14</f>
        <v>8105000</v>
      </c>
      <c r="I14" s="8"/>
      <c r="J14" s="26">
        <v>12</v>
      </c>
      <c r="K14" s="18" t="str">
        <f>Puts!B14</f>
        <v>Finn</v>
      </c>
      <c r="L14" s="152">
        <f>Puts!C14</f>
        <v>36.22222222222222</v>
      </c>
      <c r="M14" s="8"/>
      <c r="N14" s="238" t="s">
        <v>251</v>
      </c>
      <c r="O14" s="239"/>
      <c r="P14" s="240"/>
    </row>
    <row r="15" spans="2:16" ht="18" customHeight="1">
      <c r="B15" s="26">
        <v>13</v>
      </c>
      <c r="C15" s="24" t="str">
        <f>Point!B15</f>
        <v>Jesper N.</v>
      </c>
      <c r="D15" s="25">
        <f>Point!C15</f>
        <v>47</v>
      </c>
      <c r="E15" s="8"/>
      <c r="F15" s="26">
        <v>13</v>
      </c>
      <c r="G15" s="24" t="str">
        <f>Money!B15</f>
        <v>Jesper N.</v>
      </c>
      <c r="H15" s="147">
        <f>Money!C15</f>
        <v>8072500</v>
      </c>
      <c r="I15" s="8"/>
      <c r="J15" s="26">
        <v>13</v>
      </c>
      <c r="K15" s="18" t="str">
        <f>Puts!B15</f>
        <v>Jens</v>
      </c>
      <c r="L15" s="152">
        <f>Puts!C15</f>
        <v>36.44444444444444</v>
      </c>
      <c r="M15" s="8"/>
      <c r="N15" s="26">
        <v>1</v>
      </c>
      <c r="O15" s="18" t="s">
        <v>29</v>
      </c>
      <c r="P15" s="152"/>
    </row>
    <row r="16" spans="2:16" ht="18" customHeight="1">
      <c r="B16" s="26">
        <v>14</v>
      </c>
      <c r="C16" s="24" t="str">
        <f>Point!B16</f>
        <v>Erik</v>
      </c>
      <c r="D16" s="25">
        <f>Point!C16</f>
        <v>39</v>
      </c>
      <c r="E16" s="8"/>
      <c r="F16" s="26">
        <v>14</v>
      </c>
      <c r="G16" s="24" t="str">
        <f>Money!B16</f>
        <v>Erik</v>
      </c>
      <c r="H16" s="147">
        <f>Money!C16</f>
        <v>7400000</v>
      </c>
      <c r="I16" s="8"/>
      <c r="J16" s="26">
        <v>14</v>
      </c>
      <c r="K16" s="18" t="str">
        <f>Puts!B16</f>
        <v>Kristian D.</v>
      </c>
      <c r="L16" s="152">
        <f>Puts!C16</f>
        <v>36.44444444444444</v>
      </c>
      <c r="M16" s="8"/>
      <c r="N16" s="26">
        <v>2</v>
      </c>
      <c r="O16" s="18" t="s">
        <v>30</v>
      </c>
      <c r="P16" s="152"/>
    </row>
    <row r="17" spans="2:16" ht="18" customHeight="1">
      <c r="B17" s="26">
        <v>15</v>
      </c>
      <c r="C17" s="24" t="str">
        <f>Point!B17</f>
        <v>Peter</v>
      </c>
      <c r="D17" s="25">
        <f>Point!C17</f>
        <v>32</v>
      </c>
      <c r="E17" s="8"/>
      <c r="F17" s="26">
        <v>15</v>
      </c>
      <c r="G17" s="24" t="str">
        <f>Money!B17</f>
        <v>Peter</v>
      </c>
      <c r="H17" s="147">
        <f>Money!C17</f>
        <v>5500000</v>
      </c>
      <c r="I17" s="8"/>
      <c r="J17" s="26">
        <v>15</v>
      </c>
      <c r="K17" s="18" t="str">
        <f>Puts!B17</f>
        <v>John</v>
      </c>
      <c r="L17" s="152">
        <f>Puts!C17</f>
        <v>36.55555555555556</v>
      </c>
      <c r="M17" s="8"/>
      <c r="N17" s="26" t="s">
        <v>206</v>
      </c>
      <c r="O17" s="18" t="s">
        <v>122</v>
      </c>
      <c r="P17" s="152"/>
    </row>
    <row r="18" spans="2:16" ht="18" customHeight="1">
      <c r="B18" s="26">
        <v>16</v>
      </c>
      <c r="C18" s="24" t="str">
        <f>Point!B18</f>
        <v>Bo</v>
      </c>
      <c r="D18" s="25">
        <f>Point!C18</f>
        <v>29</v>
      </c>
      <c r="E18" s="8"/>
      <c r="F18" s="26">
        <v>16</v>
      </c>
      <c r="G18" s="24" t="str">
        <f>Money!B18</f>
        <v>Bo</v>
      </c>
      <c r="H18" s="147">
        <f>Money!C18</f>
        <v>4910000</v>
      </c>
      <c r="I18" s="8"/>
      <c r="J18" s="26">
        <v>16</v>
      </c>
      <c r="K18" s="18" t="str">
        <f>Puts!B18</f>
        <v>Jesper H.</v>
      </c>
      <c r="L18" s="152">
        <f>Puts!C18</f>
        <v>36.611111111111114</v>
      </c>
      <c r="M18" s="8"/>
      <c r="N18" s="26" t="s">
        <v>206</v>
      </c>
      <c r="O18" s="18" t="s">
        <v>83</v>
      </c>
      <c r="P18" s="152"/>
    </row>
    <row r="19" spans="2:16" ht="18" customHeight="1">
      <c r="B19" s="26">
        <v>17</v>
      </c>
      <c r="C19" s="24" t="str">
        <f>Point!B19</f>
        <v>Søren</v>
      </c>
      <c r="D19" s="25">
        <f>Point!C19</f>
        <v>24</v>
      </c>
      <c r="E19" s="8"/>
      <c r="F19" s="26">
        <v>17</v>
      </c>
      <c r="G19" s="24" t="str">
        <f>Money!B19</f>
        <v>Søren</v>
      </c>
      <c r="H19" s="147">
        <f>Money!C19</f>
        <v>4600000</v>
      </c>
      <c r="I19" s="8"/>
      <c r="J19" s="26">
        <v>17</v>
      </c>
      <c r="K19" s="18" t="str">
        <f>Puts!B19</f>
        <v>Per N.</v>
      </c>
      <c r="L19" s="152">
        <f>Puts!C19</f>
        <v>36.77777777777778</v>
      </c>
      <c r="M19" s="8"/>
      <c r="N19" s="26" t="s">
        <v>252</v>
      </c>
      <c r="O19" s="18" t="s">
        <v>63</v>
      </c>
      <c r="P19" s="152"/>
    </row>
    <row r="20" spans="2:16" ht="18" customHeight="1">
      <c r="B20" s="26">
        <v>18</v>
      </c>
      <c r="C20" s="24" t="str">
        <f>Point!B20</f>
        <v>Ib</v>
      </c>
      <c r="D20" s="25">
        <f>Point!C20</f>
        <v>22</v>
      </c>
      <c r="E20" s="8"/>
      <c r="F20" s="26">
        <v>18</v>
      </c>
      <c r="G20" s="24" t="str">
        <f>Money!B20</f>
        <v>Ivar</v>
      </c>
      <c r="H20" s="147">
        <f>Money!C20</f>
        <v>3570000</v>
      </c>
      <c r="I20" s="8"/>
      <c r="J20" s="26">
        <v>18</v>
      </c>
      <c r="K20" s="18" t="str">
        <f>Puts!B20</f>
        <v>Ib</v>
      </c>
      <c r="L20" s="152">
        <f>Puts!C20</f>
        <v>37.166666666666664</v>
      </c>
      <c r="M20" s="8"/>
      <c r="N20" s="26" t="s">
        <v>252</v>
      </c>
      <c r="O20" s="18" t="s">
        <v>58</v>
      </c>
      <c r="P20" s="152"/>
    </row>
    <row r="21" spans="2:16" ht="18" customHeight="1">
      <c r="B21" s="26">
        <v>19</v>
      </c>
      <c r="C21" s="24" t="str">
        <f>Point!B21</f>
        <v>Kaj</v>
      </c>
      <c r="D21" s="25">
        <f>Point!C21</f>
        <v>17</v>
      </c>
      <c r="E21" s="8"/>
      <c r="F21" s="26">
        <v>19</v>
      </c>
      <c r="G21" s="24" t="str">
        <f>Money!B21</f>
        <v>Ib</v>
      </c>
      <c r="H21" s="147">
        <f>Money!C21</f>
        <v>3440000</v>
      </c>
      <c r="I21" s="8"/>
      <c r="J21" s="26">
        <v>19</v>
      </c>
      <c r="K21" s="18" t="str">
        <f>Puts!B21</f>
        <v>Ivar</v>
      </c>
      <c r="L21" s="152">
        <f>Puts!C21</f>
        <v>37.388888888888886</v>
      </c>
      <c r="M21" s="8"/>
      <c r="N21" s="26" t="s">
        <v>252</v>
      </c>
      <c r="O21" s="18" t="s">
        <v>70</v>
      </c>
      <c r="P21" s="152"/>
    </row>
    <row r="22" spans="2:16" ht="18" customHeight="1">
      <c r="B22" s="26">
        <v>20</v>
      </c>
      <c r="C22" s="24" t="str">
        <f>Point!B22</f>
        <v>Thorkild</v>
      </c>
      <c r="D22" s="25">
        <f>Point!C22</f>
        <v>15</v>
      </c>
      <c r="E22" s="8"/>
      <c r="F22" s="26">
        <v>20</v>
      </c>
      <c r="G22" s="24" t="str">
        <f>Money!B22</f>
        <v>Thorkild</v>
      </c>
      <c r="H22" s="147">
        <f>Money!C22</f>
        <v>2662500</v>
      </c>
      <c r="I22" s="8"/>
      <c r="J22" s="26">
        <v>20</v>
      </c>
      <c r="K22" s="18" t="str">
        <f>Puts!B22</f>
        <v>Henning</v>
      </c>
      <c r="L22" s="152">
        <f>Puts!C22</f>
        <v>37.5</v>
      </c>
      <c r="M22" s="8"/>
      <c r="N22" s="26" t="s">
        <v>252</v>
      </c>
      <c r="O22" s="18" t="s">
        <v>67</v>
      </c>
      <c r="P22" s="152"/>
    </row>
    <row r="23" spans="2:16" ht="18" customHeight="1">
      <c r="B23" s="26">
        <v>21</v>
      </c>
      <c r="C23" s="24" t="str">
        <f>Point!B23</f>
        <v>Henning</v>
      </c>
      <c r="D23" s="25">
        <f>Point!C23</f>
        <v>13</v>
      </c>
      <c r="E23" s="8"/>
      <c r="F23" s="26">
        <v>21</v>
      </c>
      <c r="G23" s="24" t="str">
        <f>Money!B23</f>
        <v>Henning</v>
      </c>
      <c r="H23" s="147">
        <f>Money!C23</f>
        <v>2580000</v>
      </c>
      <c r="I23" s="8"/>
      <c r="J23" s="26">
        <v>21</v>
      </c>
      <c r="K23" s="18" t="str">
        <f>Puts!B23</f>
        <v>Bo</v>
      </c>
      <c r="L23" s="152">
        <f>Puts!C23</f>
        <v>38.111111111111114</v>
      </c>
      <c r="M23" s="8"/>
      <c r="N23" s="241" t="s">
        <v>54</v>
      </c>
      <c r="O23" s="242"/>
      <c r="P23" s="243"/>
    </row>
    <row r="24" spans="2:16" ht="18" customHeight="1">
      <c r="B24" s="26">
        <v>22</v>
      </c>
      <c r="C24" s="24" t="str">
        <f>Point!B24</f>
        <v>Ivar</v>
      </c>
      <c r="D24" s="25">
        <f>Point!C24</f>
        <v>12</v>
      </c>
      <c r="E24" s="8"/>
      <c r="F24" s="26">
        <v>22</v>
      </c>
      <c r="G24" s="24" t="str">
        <f>Money!B24</f>
        <v>Kaj</v>
      </c>
      <c r="H24" s="147">
        <f>Money!C24</f>
        <v>2087500</v>
      </c>
      <c r="I24" s="8"/>
      <c r="J24" s="26">
        <v>22</v>
      </c>
      <c r="K24" s="18" t="str">
        <f>Puts!B24</f>
        <v>Kaj</v>
      </c>
      <c r="L24" s="152">
        <f>Puts!C24</f>
        <v>38.22222222222222</v>
      </c>
      <c r="M24" s="8"/>
      <c r="N24" s="81" t="str">
        <f>'Tæt-flag'!I3</f>
        <v>29/5</v>
      </c>
      <c r="O24" s="18" t="str">
        <f>'Tæt-flag'!G3</f>
        <v>Søren</v>
      </c>
      <c r="P24" s="152" t="str">
        <f>'Tæt-flag'!H3</f>
        <v>Dejbjerg 8</v>
      </c>
    </row>
    <row r="25" spans="2:16" ht="18" customHeight="1">
      <c r="B25" s="26">
        <v>23</v>
      </c>
      <c r="C25" s="24" t="str">
        <f>Point!B25</f>
        <v>Jesper H.</v>
      </c>
      <c r="D25" s="25">
        <f>Point!C25</f>
        <v>8</v>
      </c>
      <c r="E25" s="8"/>
      <c r="F25" s="26">
        <v>23</v>
      </c>
      <c r="G25" s="24" t="str">
        <f>Money!B25</f>
        <v>Jesper H.</v>
      </c>
      <c r="H25" s="147">
        <f>Money!C25</f>
        <v>1300000</v>
      </c>
      <c r="I25" s="8"/>
      <c r="J25" s="26">
        <v>23</v>
      </c>
      <c r="K25" s="18" t="str">
        <f>Puts!B25</f>
        <v>Thorkild</v>
      </c>
      <c r="L25" s="152">
        <f>Puts!C25</f>
        <v>38.27777777777778</v>
      </c>
      <c r="M25" s="8"/>
      <c r="N25" s="81" t="str">
        <f>'Tæt-flag'!I4</f>
        <v>15/8</v>
      </c>
      <c r="O25" s="18" t="str">
        <f>'Tæt-flag'!G4</f>
        <v>Robin</v>
      </c>
      <c r="P25" s="152" t="str">
        <f>'Tæt-flag'!H4</f>
        <v>Tinglev 18</v>
      </c>
    </row>
    <row r="26" spans="2:16" ht="18" customHeight="1">
      <c r="B26" s="26">
        <v>24</v>
      </c>
      <c r="C26" s="24" t="str">
        <f>Point!B26</f>
        <v>Torben</v>
      </c>
      <c r="D26" s="25">
        <f>Point!C26</f>
        <v>0</v>
      </c>
      <c r="E26" s="8"/>
      <c r="F26" s="26">
        <v>24</v>
      </c>
      <c r="G26" s="24" t="str">
        <f>Money!B26</f>
        <v>Torben</v>
      </c>
      <c r="H26" s="147">
        <f>Money!C26</f>
        <v>350000</v>
      </c>
      <c r="I26" s="8"/>
      <c r="J26" s="26">
        <v>24</v>
      </c>
      <c r="K26" s="18" t="str">
        <f>Puts!B26</f>
        <v>Torben</v>
      </c>
      <c r="L26" s="152">
        <f>Puts!C26</f>
        <v>38.27777777777778</v>
      </c>
      <c r="M26" s="8"/>
      <c r="N26" s="81" t="str">
        <f>'Tæt-flag'!I5</f>
        <v>26/9</v>
      </c>
      <c r="O26" s="18" t="str">
        <f>'Tæt-flag'!G5</f>
        <v>Carsten L</v>
      </c>
      <c r="P26" s="152" t="str">
        <f>'Tæt-flag'!H5</f>
        <v>Skoven 2</v>
      </c>
    </row>
    <row r="28" spans="2:17" s="12" customFormat="1" ht="15">
      <c r="B28" s="234" t="s">
        <v>26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6"/>
      <c r="Q28" s="1"/>
    </row>
    <row r="29" spans="2:16" ht="14.25">
      <c r="B29" s="231" t="s">
        <v>27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3"/>
    </row>
    <row r="30" spans="2:16" ht="14.25">
      <c r="B30" s="231" t="s">
        <v>204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3"/>
    </row>
  </sheetData>
  <sheetProtection/>
  <mergeCells count="10">
    <mergeCell ref="B30:P30"/>
    <mergeCell ref="B28:P28"/>
    <mergeCell ref="B1:P1"/>
    <mergeCell ref="B29:P29"/>
    <mergeCell ref="N2:P2"/>
    <mergeCell ref="J2:L2"/>
    <mergeCell ref="F2:H2"/>
    <mergeCell ref="B2:D2"/>
    <mergeCell ref="N23:P23"/>
    <mergeCell ref="N14:P14"/>
  </mergeCells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workbookViewId="0" topLeftCell="B1">
      <selection activeCell="U7" sqref="U7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11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68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235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9" s="4" customFormat="1" ht="29.25" customHeight="1">
      <c r="C3" s="250" t="s">
        <v>234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Q3" s="198"/>
      <c r="R3" s="198"/>
      <c r="S3" s="198"/>
    </row>
    <row r="4" spans="2:19" s="7" customFormat="1" ht="27" customHeight="1">
      <c r="B4" s="5" t="s">
        <v>0</v>
      </c>
      <c r="C4" s="6" t="s">
        <v>1</v>
      </c>
      <c r="D4" s="6" t="s">
        <v>7</v>
      </c>
      <c r="E4" s="169" t="s">
        <v>227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  <c r="Q4" s="199"/>
      <c r="R4" s="7" t="s">
        <v>2</v>
      </c>
      <c r="S4" s="7" t="s">
        <v>215</v>
      </c>
    </row>
    <row r="5" spans="2:19" s="107" customFormat="1" ht="18" customHeight="1">
      <c r="B5" s="117" t="s">
        <v>30</v>
      </c>
      <c r="C5" s="118">
        <v>10</v>
      </c>
      <c r="D5" s="105">
        <v>31</v>
      </c>
      <c r="E5" s="108">
        <v>28.58823529411765</v>
      </c>
      <c r="F5" s="104"/>
      <c r="G5" s="105">
        <v>1</v>
      </c>
      <c r="H5" s="113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200"/>
      <c r="R5" s="108">
        <v>27</v>
      </c>
      <c r="S5" s="196">
        <f>R5*18/17</f>
        <v>28.58823529411765</v>
      </c>
    </row>
    <row r="6" spans="2:19" s="107" customFormat="1" ht="18" customHeight="1">
      <c r="B6" s="100" t="s">
        <v>29</v>
      </c>
      <c r="C6" s="111">
        <v>7.8</v>
      </c>
      <c r="D6" s="105">
        <v>28</v>
      </c>
      <c r="E6" s="108">
        <v>32.8235294117647</v>
      </c>
      <c r="F6" s="104">
        <v>14.66</v>
      </c>
      <c r="G6" s="105">
        <v>2</v>
      </c>
      <c r="H6" s="109">
        <v>8</v>
      </c>
      <c r="I6" s="106">
        <f t="shared" si="0"/>
        <v>1350000</v>
      </c>
      <c r="J6" s="122">
        <f t="shared" si="1"/>
        <v>350000</v>
      </c>
      <c r="K6" s="126" t="s">
        <v>6</v>
      </c>
      <c r="L6" s="127"/>
      <c r="M6" s="113"/>
      <c r="N6" s="109" t="s">
        <v>5</v>
      </c>
      <c r="O6" s="110" t="s">
        <v>4</v>
      </c>
      <c r="Q6" s="200"/>
      <c r="R6" s="108">
        <v>31</v>
      </c>
      <c r="S6" s="196">
        <f aca="true" t="shared" si="2" ref="S6:S28">R6*18/17</f>
        <v>32.8235294117647</v>
      </c>
    </row>
    <row r="7" spans="2:19" s="107" customFormat="1" ht="18" customHeight="1">
      <c r="B7" s="117" t="s">
        <v>65</v>
      </c>
      <c r="C7" s="118">
        <v>11.2</v>
      </c>
      <c r="D7" s="108">
        <v>28</v>
      </c>
      <c r="E7" s="108">
        <v>32.8235294117647</v>
      </c>
      <c r="F7" s="104"/>
      <c r="G7" s="110">
        <v>3</v>
      </c>
      <c r="H7" s="109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200"/>
      <c r="R7" s="108">
        <v>31</v>
      </c>
      <c r="S7" s="196">
        <f t="shared" si="2"/>
        <v>32.8235294117647</v>
      </c>
    </row>
    <row r="8" spans="2:19" s="107" customFormat="1" ht="18" customHeight="1">
      <c r="B8" s="100" t="s">
        <v>79</v>
      </c>
      <c r="C8" s="101">
        <v>5.9</v>
      </c>
      <c r="D8" s="105">
        <v>25</v>
      </c>
      <c r="E8" s="108">
        <v>34.94117647058823</v>
      </c>
      <c r="F8" s="104"/>
      <c r="G8" s="105">
        <v>4</v>
      </c>
      <c r="H8" s="109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200"/>
      <c r="R8" s="108">
        <v>33</v>
      </c>
      <c r="S8" s="196">
        <f t="shared" si="2"/>
        <v>34.94117647058823</v>
      </c>
    </row>
    <row r="9" spans="2:19" s="107" customFormat="1" ht="18" customHeight="1">
      <c r="B9" s="100" t="s">
        <v>64</v>
      </c>
      <c r="C9" s="101">
        <v>14.2</v>
      </c>
      <c r="D9" s="112">
        <v>24</v>
      </c>
      <c r="E9" s="108">
        <v>32.8235294117647</v>
      </c>
      <c r="F9" s="110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200"/>
      <c r="R9" s="108">
        <v>31</v>
      </c>
      <c r="S9" s="196">
        <f t="shared" si="2"/>
        <v>32.8235294117647</v>
      </c>
    </row>
    <row r="10" spans="2:19" s="107" customFormat="1" ht="18" customHeight="1">
      <c r="B10" s="100" t="s">
        <v>59</v>
      </c>
      <c r="C10" s="101">
        <v>21.4</v>
      </c>
      <c r="D10" s="105">
        <v>24</v>
      </c>
      <c r="E10" s="108">
        <v>39.1764705882353</v>
      </c>
      <c r="F10" s="110"/>
      <c r="G10" s="116">
        <v>6</v>
      </c>
      <c r="H10" s="109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200"/>
      <c r="R10" s="108">
        <v>37</v>
      </c>
      <c r="S10" s="196">
        <f t="shared" si="2"/>
        <v>39.1764705882353</v>
      </c>
    </row>
    <row r="11" spans="2:19" s="107" customFormat="1" ht="18" customHeight="1">
      <c r="B11" s="100" t="s">
        <v>60</v>
      </c>
      <c r="C11" s="111">
        <v>23.7</v>
      </c>
      <c r="D11" s="108">
        <v>24</v>
      </c>
      <c r="E11" s="103">
        <v>42.35294117647059</v>
      </c>
      <c r="F11" s="110"/>
      <c r="G11" s="105">
        <v>7</v>
      </c>
      <c r="H11" s="109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200"/>
      <c r="R11" s="103">
        <v>40</v>
      </c>
      <c r="S11" s="196">
        <f t="shared" si="2"/>
        <v>42.35294117647059</v>
      </c>
    </row>
    <row r="12" spans="2:19" s="107" customFormat="1" ht="18" customHeight="1">
      <c r="B12" s="100" t="s">
        <v>78</v>
      </c>
      <c r="C12" s="101">
        <v>16.2</v>
      </c>
      <c r="D12" s="108">
        <v>23</v>
      </c>
      <c r="E12" s="108">
        <v>36</v>
      </c>
      <c r="F12" s="104"/>
      <c r="G12" s="105">
        <v>8</v>
      </c>
      <c r="H12" s="109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200"/>
      <c r="R12" s="108">
        <v>34</v>
      </c>
      <c r="S12" s="196">
        <f t="shared" si="2"/>
        <v>36</v>
      </c>
    </row>
    <row r="13" spans="2:19" s="107" customFormat="1" ht="18" customHeight="1">
      <c r="B13" s="100" t="s">
        <v>69</v>
      </c>
      <c r="C13" s="101">
        <v>26.8</v>
      </c>
      <c r="D13" s="105">
        <v>19</v>
      </c>
      <c r="E13" s="108">
        <v>40.23529411764706</v>
      </c>
      <c r="F13" s="110"/>
      <c r="G13" s="102"/>
      <c r="H13" s="105"/>
      <c r="I13" s="106">
        <f aca="true" t="shared" si="3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200"/>
      <c r="R13" s="108">
        <v>38</v>
      </c>
      <c r="S13" s="196">
        <f t="shared" si="2"/>
        <v>40.23529411764706</v>
      </c>
    </row>
    <row r="14" spans="2:19" s="107" customFormat="1" ht="18" customHeight="1">
      <c r="B14" s="100" t="s">
        <v>80</v>
      </c>
      <c r="C14" s="101">
        <v>19.1</v>
      </c>
      <c r="D14" s="110">
        <v>18</v>
      </c>
      <c r="E14" s="108">
        <v>38.11764705882353</v>
      </c>
      <c r="F14" s="104"/>
      <c r="G14" s="105"/>
      <c r="H14" s="105"/>
      <c r="I14" s="106">
        <f t="shared" si="3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200"/>
      <c r="R14" s="108">
        <v>36</v>
      </c>
      <c r="S14" s="196">
        <f t="shared" si="2"/>
        <v>38.11764705882353</v>
      </c>
    </row>
    <row r="15" spans="2:19" s="107" customFormat="1" ht="18" customHeight="1">
      <c r="B15" s="100" t="s">
        <v>83</v>
      </c>
      <c r="C15" s="111">
        <v>7.5</v>
      </c>
      <c r="D15" s="105"/>
      <c r="E15" s="108"/>
      <c r="F15" s="110"/>
      <c r="G15" s="105"/>
      <c r="H15" s="105"/>
      <c r="I15" s="106">
        <f t="shared" si="3"/>
        <v>0</v>
      </c>
      <c r="J15" s="122">
        <f t="shared" si="1"/>
        <v>0</v>
      </c>
      <c r="K15" s="136" t="s">
        <v>3</v>
      </c>
      <c r="L15" s="132"/>
      <c r="M15" s="133"/>
      <c r="N15" s="109"/>
      <c r="O15" s="119">
        <v>5000000</v>
      </c>
      <c r="Q15" s="200"/>
      <c r="R15" s="103"/>
      <c r="S15" s="196">
        <f t="shared" si="2"/>
        <v>0</v>
      </c>
    </row>
    <row r="16" spans="2:19" s="107" customFormat="1" ht="18" customHeight="1">
      <c r="B16" s="100" t="s">
        <v>61</v>
      </c>
      <c r="C16" s="101">
        <v>8.7</v>
      </c>
      <c r="D16" s="105"/>
      <c r="E16" s="108"/>
      <c r="F16" s="104"/>
      <c r="G16" s="105"/>
      <c r="H16" s="105"/>
      <c r="I16" s="106">
        <f t="shared" si="3"/>
        <v>0</v>
      </c>
      <c r="J16" s="122">
        <f t="shared" si="1"/>
        <v>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200"/>
      <c r="R16" s="103"/>
      <c r="S16" s="196">
        <f t="shared" si="2"/>
        <v>0</v>
      </c>
    </row>
    <row r="17" spans="2:19" s="107" customFormat="1" ht="18" customHeight="1">
      <c r="B17" s="100" t="s">
        <v>77</v>
      </c>
      <c r="C17" s="101">
        <v>9.6</v>
      </c>
      <c r="D17" s="105"/>
      <c r="E17" s="108"/>
      <c r="F17" s="104"/>
      <c r="G17" s="110"/>
      <c r="H17" s="110"/>
      <c r="I17" s="106">
        <f t="shared" si="3"/>
        <v>0</v>
      </c>
      <c r="J17" s="122">
        <f t="shared" si="1"/>
        <v>0</v>
      </c>
      <c r="Q17" s="200"/>
      <c r="R17" s="112"/>
      <c r="S17" s="196">
        <f t="shared" si="2"/>
        <v>0</v>
      </c>
    </row>
    <row r="18" spans="2:19" s="107" customFormat="1" ht="18" customHeight="1">
      <c r="B18" s="100" t="s">
        <v>67</v>
      </c>
      <c r="C18" s="101">
        <v>16.6</v>
      </c>
      <c r="D18" s="105"/>
      <c r="E18" s="108"/>
      <c r="F18" s="104"/>
      <c r="G18" s="110"/>
      <c r="H18" s="110"/>
      <c r="I18" s="106">
        <f t="shared" si="3"/>
        <v>0</v>
      </c>
      <c r="J18" s="122">
        <f t="shared" si="1"/>
        <v>0</v>
      </c>
      <c r="P18" s="114"/>
      <c r="Q18" s="200"/>
      <c r="R18" s="103"/>
      <c r="S18" s="196">
        <f t="shared" si="2"/>
        <v>0</v>
      </c>
    </row>
    <row r="19" spans="2:19" s="107" customFormat="1" ht="18" customHeight="1">
      <c r="B19" s="100" t="s">
        <v>66</v>
      </c>
      <c r="C19" s="101">
        <v>16.9</v>
      </c>
      <c r="D19" s="108"/>
      <c r="E19" s="108"/>
      <c r="F19" s="104"/>
      <c r="G19" s="105"/>
      <c r="H19" s="105"/>
      <c r="I19" s="106">
        <f t="shared" si="3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200"/>
      <c r="R19" s="103"/>
      <c r="S19" s="196">
        <f t="shared" si="2"/>
        <v>0</v>
      </c>
    </row>
    <row r="20" spans="2:19" s="107" customFormat="1" ht="18" customHeight="1">
      <c r="B20" s="100" t="s">
        <v>192</v>
      </c>
      <c r="C20" s="101">
        <v>17.1</v>
      </c>
      <c r="D20" s="110"/>
      <c r="E20" s="108"/>
      <c r="F20" s="110"/>
      <c r="G20" s="105"/>
      <c r="H20" s="105"/>
      <c r="I20" s="106">
        <f t="shared" si="3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200"/>
      <c r="R20" s="103"/>
      <c r="S20" s="196">
        <f t="shared" si="2"/>
        <v>0</v>
      </c>
    </row>
    <row r="21" spans="2:19" s="4" customFormat="1" ht="18" customHeight="1">
      <c r="B21" s="100" t="s">
        <v>70</v>
      </c>
      <c r="C21" s="101">
        <v>19.6</v>
      </c>
      <c r="D21" s="102"/>
      <c r="E21" s="108"/>
      <c r="F21" s="104"/>
      <c r="G21" s="110"/>
      <c r="H21" s="110"/>
      <c r="I21" s="106">
        <f t="shared" si="3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  <c r="Q21" s="198"/>
      <c r="R21" s="103"/>
      <c r="S21" s="196">
        <f t="shared" si="2"/>
        <v>0</v>
      </c>
    </row>
    <row r="22" spans="2:19" s="4" customFormat="1" ht="18" customHeight="1">
      <c r="B22" s="100" t="s">
        <v>82</v>
      </c>
      <c r="C22" s="101">
        <v>19.8</v>
      </c>
      <c r="D22" s="105"/>
      <c r="E22" s="108"/>
      <c r="F22" s="104"/>
      <c r="G22" s="110"/>
      <c r="H22" s="110"/>
      <c r="I22" s="106">
        <f t="shared" si="3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  <c r="Q22" s="198"/>
      <c r="R22" s="103"/>
      <c r="S22" s="196">
        <f t="shared" si="2"/>
        <v>0</v>
      </c>
    </row>
    <row r="23" spans="2:19" s="4" customFormat="1" ht="18" customHeight="1">
      <c r="B23" s="100" t="s">
        <v>68</v>
      </c>
      <c r="C23" s="101">
        <v>19.9</v>
      </c>
      <c r="D23" s="105"/>
      <c r="E23" s="108"/>
      <c r="F23" s="104"/>
      <c r="G23" s="110"/>
      <c r="H23" s="110"/>
      <c r="I23" s="106">
        <f t="shared" si="3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  <c r="Q23" s="198"/>
      <c r="R23" s="103"/>
      <c r="S23" s="196">
        <f t="shared" si="2"/>
        <v>0</v>
      </c>
    </row>
    <row r="24" spans="2:19" s="4" customFormat="1" ht="18" customHeight="1">
      <c r="B24" s="100" t="s">
        <v>58</v>
      </c>
      <c r="C24" s="101">
        <v>22.2</v>
      </c>
      <c r="D24" s="105"/>
      <c r="E24" s="103"/>
      <c r="F24" s="110"/>
      <c r="G24" s="110"/>
      <c r="H24" s="110"/>
      <c r="I24" s="106">
        <f t="shared" si="3"/>
        <v>0</v>
      </c>
      <c r="J24" s="122">
        <f t="shared" si="1"/>
        <v>0</v>
      </c>
      <c r="M24" s="120"/>
      <c r="N24" s="121"/>
      <c r="O24" s="121"/>
      <c r="Q24" s="198"/>
      <c r="R24" s="103"/>
      <c r="S24" s="196">
        <f t="shared" si="2"/>
        <v>0</v>
      </c>
    </row>
    <row r="25" spans="2:19" s="4" customFormat="1" ht="18" customHeight="1">
      <c r="B25" s="100" t="s">
        <v>63</v>
      </c>
      <c r="C25" s="111">
        <v>23.6</v>
      </c>
      <c r="D25" s="105"/>
      <c r="E25" s="103"/>
      <c r="F25" s="104"/>
      <c r="G25" s="110"/>
      <c r="H25" s="110"/>
      <c r="I25" s="106">
        <f t="shared" si="3"/>
        <v>0</v>
      </c>
      <c r="J25" s="122">
        <f t="shared" si="1"/>
        <v>0</v>
      </c>
      <c r="M25" s="120"/>
      <c r="N25" s="121"/>
      <c r="O25" s="121"/>
      <c r="Q25" s="198"/>
      <c r="R25" s="108"/>
      <c r="S25" s="196">
        <f t="shared" si="2"/>
        <v>0</v>
      </c>
    </row>
    <row r="26" spans="2:19" s="4" customFormat="1" ht="18" customHeight="1">
      <c r="B26" s="100" t="s">
        <v>62</v>
      </c>
      <c r="C26" s="101">
        <v>24.2</v>
      </c>
      <c r="D26" s="108"/>
      <c r="E26" s="103"/>
      <c r="F26" s="104"/>
      <c r="G26" s="110"/>
      <c r="H26" s="110"/>
      <c r="I26" s="106">
        <f t="shared" si="3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  <c r="Q26" s="198"/>
      <c r="R26" s="103"/>
      <c r="S26" s="196">
        <f t="shared" si="2"/>
        <v>0</v>
      </c>
    </row>
    <row r="27" spans="2:19" s="4" customFormat="1" ht="18" customHeight="1">
      <c r="B27" s="100" t="s">
        <v>81</v>
      </c>
      <c r="C27" s="101">
        <v>30</v>
      </c>
      <c r="D27" s="105"/>
      <c r="E27" s="108"/>
      <c r="F27" s="110"/>
      <c r="G27" s="105"/>
      <c r="H27" s="105"/>
      <c r="I27" s="106">
        <f t="shared" si="3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  <c r="Q27" s="198"/>
      <c r="R27" s="112"/>
      <c r="S27" s="196">
        <f t="shared" si="2"/>
        <v>0</v>
      </c>
    </row>
    <row r="28" spans="2:19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3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  <c r="Q28" s="198"/>
      <c r="R28" s="103"/>
      <c r="S28" s="196">
        <f t="shared" si="2"/>
        <v>0</v>
      </c>
    </row>
    <row r="29" spans="2:19" ht="24" customHeight="1" thickBot="1">
      <c r="B29" s="1"/>
      <c r="C29" s="2"/>
      <c r="D29" s="3"/>
      <c r="E29" s="3"/>
      <c r="F29" s="3"/>
      <c r="G29" s="2"/>
      <c r="H29" s="2"/>
      <c r="I29" s="82">
        <f>SUM(I5:I28)</f>
        <v>5800000</v>
      </c>
      <c r="J29" s="123"/>
      <c r="Q29" s="205"/>
      <c r="R29" s="205"/>
      <c r="S29" s="205"/>
    </row>
    <row r="30" spans="2:10" ht="24" customHeight="1" thickTop="1">
      <c r="B30" s="1"/>
      <c r="C30" s="2"/>
      <c r="D30" s="3"/>
      <c r="E30" s="3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I36" sqref="I36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11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68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226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9" s="4" customFormat="1" ht="29.25" customHeight="1">
      <c r="C3" s="250" t="s">
        <v>231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Q3" s="198"/>
      <c r="R3" s="198"/>
      <c r="S3" s="198"/>
    </row>
    <row r="4" spans="2:19" s="7" customFormat="1" ht="27" customHeight="1">
      <c r="B4" s="5" t="s">
        <v>0</v>
      </c>
      <c r="C4" s="6" t="s">
        <v>1</v>
      </c>
      <c r="D4" s="6" t="s">
        <v>7</v>
      </c>
      <c r="E4" s="169" t="s">
        <v>227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  <c r="Q4" s="199"/>
      <c r="R4" s="7" t="s">
        <v>2</v>
      </c>
      <c r="S4" s="7" t="s">
        <v>215</v>
      </c>
    </row>
    <row r="5" spans="2:19" s="107" customFormat="1" ht="18" customHeight="1">
      <c r="B5" s="100" t="s">
        <v>62</v>
      </c>
      <c r="C5" s="101">
        <v>24.2</v>
      </c>
      <c r="D5" s="105">
        <v>26</v>
      </c>
      <c r="E5" s="108">
        <f aca="true" t="shared" si="0" ref="E5:E16">S5</f>
        <v>38.4</v>
      </c>
      <c r="F5" s="104"/>
      <c r="G5" s="105">
        <v>1</v>
      </c>
      <c r="H5" s="113">
        <v>10</v>
      </c>
      <c r="I5" s="106">
        <f aca="true" t="shared" si="1" ref="I5:I12">O7+J5</f>
        <v>1300000</v>
      </c>
      <c r="J5" s="122">
        <f aca="true" t="shared" si="2" ref="J5:J28">IF(F5&gt;0,$O$16,0)+IF(D5,50000,0)</f>
        <v>50000</v>
      </c>
      <c r="K5" s="125"/>
      <c r="L5" s="125"/>
      <c r="M5" s="125"/>
      <c r="Q5" s="200"/>
      <c r="R5" s="103">
        <v>32</v>
      </c>
      <c r="S5" s="196">
        <f>R5*18/15</f>
        <v>38.4</v>
      </c>
    </row>
    <row r="6" spans="2:19" s="107" customFormat="1" ht="18" customHeight="1">
      <c r="B6" s="117" t="s">
        <v>30</v>
      </c>
      <c r="C6" s="118">
        <v>10</v>
      </c>
      <c r="D6" s="105">
        <v>23</v>
      </c>
      <c r="E6" s="108">
        <f t="shared" si="0"/>
        <v>36</v>
      </c>
      <c r="F6" s="104"/>
      <c r="G6" s="105">
        <v>2</v>
      </c>
      <c r="H6" s="109">
        <v>8</v>
      </c>
      <c r="I6" s="106">
        <f t="shared" si="1"/>
        <v>1050000</v>
      </c>
      <c r="J6" s="122">
        <f t="shared" si="2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200"/>
      <c r="R6" s="112">
        <v>30</v>
      </c>
      <c r="S6" s="196">
        <f aca="true" t="shared" si="3" ref="S6:S28">R6*18/15</f>
        <v>36</v>
      </c>
    </row>
    <row r="7" spans="2:19" s="107" customFormat="1" ht="18" customHeight="1">
      <c r="B7" s="100" t="s">
        <v>70</v>
      </c>
      <c r="C7" s="101">
        <v>19.6</v>
      </c>
      <c r="D7" s="105">
        <v>23</v>
      </c>
      <c r="E7" s="108">
        <f t="shared" si="0"/>
        <v>37.2</v>
      </c>
      <c r="F7" s="104"/>
      <c r="G7" s="110">
        <v>3</v>
      </c>
      <c r="H7" s="109">
        <v>6</v>
      </c>
      <c r="I7" s="106">
        <f t="shared" si="1"/>
        <v>800000</v>
      </c>
      <c r="J7" s="122">
        <f t="shared" si="2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200"/>
      <c r="R7" s="103">
        <v>31</v>
      </c>
      <c r="S7" s="196">
        <f t="shared" si="3"/>
        <v>37.2</v>
      </c>
    </row>
    <row r="8" spans="2:19" s="107" customFormat="1" ht="18" customHeight="1">
      <c r="B8" s="100" t="s">
        <v>78</v>
      </c>
      <c r="C8" s="101">
        <v>16.2</v>
      </c>
      <c r="D8" s="105">
        <v>22</v>
      </c>
      <c r="E8" s="108">
        <f t="shared" si="0"/>
        <v>33.6</v>
      </c>
      <c r="F8" s="104"/>
      <c r="G8" s="105">
        <v>4</v>
      </c>
      <c r="H8" s="109">
        <v>5</v>
      </c>
      <c r="I8" s="106">
        <f t="shared" si="1"/>
        <v>650000</v>
      </c>
      <c r="J8" s="122">
        <f t="shared" si="2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200"/>
      <c r="R8" s="103">
        <v>28</v>
      </c>
      <c r="S8" s="196">
        <f t="shared" si="3"/>
        <v>33.6</v>
      </c>
    </row>
    <row r="9" spans="2:19" s="107" customFormat="1" ht="18" customHeight="1">
      <c r="B9" s="100" t="s">
        <v>60</v>
      </c>
      <c r="C9" s="111">
        <v>23.7</v>
      </c>
      <c r="D9" s="105">
        <v>21</v>
      </c>
      <c r="E9" s="108">
        <f t="shared" si="0"/>
        <v>39.6</v>
      </c>
      <c r="F9" s="110"/>
      <c r="G9" s="105">
        <v>5</v>
      </c>
      <c r="H9" s="109">
        <v>4</v>
      </c>
      <c r="I9" s="106">
        <f t="shared" si="1"/>
        <v>550000</v>
      </c>
      <c r="J9" s="122">
        <f t="shared" si="2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200"/>
      <c r="R9" s="112">
        <v>33</v>
      </c>
      <c r="S9" s="196">
        <f t="shared" si="3"/>
        <v>39.6</v>
      </c>
    </row>
    <row r="10" spans="2:19" s="107" customFormat="1" ht="18" customHeight="1">
      <c r="B10" s="100" t="s">
        <v>79</v>
      </c>
      <c r="C10" s="101">
        <v>5.9</v>
      </c>
      <c r="D10" s="105">
        <v>20</v>
      </c>
      <c r="E10" s="108">
        <f t="shared" si="0"/>
        <v>37.2</v>
      </c>
      <c r="F10" s="110"/>
      <c r="G10" s="116">
        <v>6</v>
      </c>
      <c r="H10" s="109">
        <v>3</v>
      </c>
      <c r="I10" s="106">
        <f t="shared" si="1"/>
        <v>450000</v>
      </c>
      <c r="J10" s="122">
        <f t="shared" si="2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200"/>
      <c r="R10" s="112">
        <v>31</v>
      </c>
      <c r="S10" s="196">
        <f t="shared" si="3"/>
        <v>37.2</v>
      </c>
    </row>
    <row r="11" spans="2:19" s="107" customFormat="1" ht="18" customHeight="1">
      <c r="B11" s="100" t="s">
        <v>192</v>
      </c>
      <c r="C11" s="101">
        <v>17.1</v>
      </c>
      <c r="D11" s="108">
        <v>19</v>
      </c>
      <c r="E11" s="108">
        <f t="shared" si="0"/>
        <v>37.2</v>
      </c>
      <c r="F11" s="110"/>
      <c r="G11" s="105">
        <v>7</v>
      </c>
      <c r="H11" s="109">
        <v>2</v>
      </c>
      <c r="I11" s="106">
        <f t="shared" si="1"/>
        <v>350000</v>
      </c>
      <c r="J11" s="122">
        <f t="shared" si="2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200"/>
      <c r="R11" s="112">
        <v>31</v>
      </c>
      <c r="S11" s="196">
        <f t="shared" si="3"/>
        <v>37.2</v>
      </c>
    </row>
    <row r="12" spans="2:19" s="107" customFormat="1" ht="18" customHeight="1">
      <c r="B12" s="100" t="s">
        <v>59</v>
      </c>
      <c r="C12" s="101">
        <v>21.4</v>
      </c>
      <c r="D12" s="112">
        <v>19</v>
      </c>
      <c r="E12" s="108">
        <f t="shared" si="0"/>
        <v>40.8</v>
      </c>
      <c r="F12" s="104"/>
      <c r="G12" s="105">
        <v>8</v>
      </c>
      <c r="H12" s="109">
        <v>1</v>
      </c>
      <c r="I12" s="106">
        <f t="shared" si="1"/>
        <v>250000</v>
      </c>
      <c r="J12" s="122">
        <f t="shared" si="2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200"/>
      <c r="R12" s="112">
        <v>34</v>
      </c>
      <c r="S12" s="196">
        <f t="shared" si="3"/>
        <v>40.8</v>
      </c>
    </row>
    <row r="13" spans="2:19" s="107" customFormat="1" ht="18" customHeight="1">
      <c r="B13" s="100" t="s">
        <v>82</v>
      </c>
      <c r="C13" s="101">
        <v>19.8</v>
      </c>
      <c r="D13" s="108">
        <v>17</v>
      </c>
      <c r="E13" s="108">
        <f t="shared" si="0"/>
        <v>39.6</v>
      </c>
      <c r="F13" s="110"/>
      <c r="G13" s="102"/>
      <c r="H13" s="105"/>
      <c r="I13" s="106">
        <f aca="true" t="shared" si="4" ref="I13:I28">J13</f>
        <v>50000</v>
      </c>
      <c r="J13" s="122">
        <f t="shared" si="2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200"/>
      <c r="R13" s="103">
        <v>33</v>
      </c>
      <c r="S13" s="196">
        <f t="shared" si="3"/>
        <v>39.6</v>
      </c>
    </row>
    <row r="14" spans="2:19" s="107" customFormat="1" ht="18" customHeight="1">
      <c r="B14" s="100" t="s">
        <v>61</v>
      </c>
      <c r="C14" s="101">
        <v>8.7</v>
      </c>
      <c r="D14" s="105">
        <v>16</v>
      </c>
      <c r="E14" s="108">
        <f t="shared" si="0"/>
        <v>40.8</v>
      </c>
      <c r="F14" s="104"/>
      <c r="G14" s="105"/>
      <c r="H14" s="105"/>
      <c r="I14" s="106">
        <f t="shared" si="4"/>
        <v>50000</v>
      </c>
      <c r="J14" s="122">
        <f t="shared" si="2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200"/>
      <c r="R14" s="112">
        <v>34</v>
      </c>
      <c r="S14" s="196">
        <f t="shared" si="3"/>
        <v>40.8</v>
      </c>
    </row>
    <row r="15" spans="2:19" s="107" customFormat="1" ht="18" customHeight="1">
      <c r="B15" s="100" t="s">
        <v>67</v>
      </c>
      <c r="C15" s="101">
        <v>16.6</v>
      </c>
      <c r="D15" s="108">
        <v>15</v>
      </c>
      <c r="E15" s="108">
        <f t="shared" si="0"/>
        <v>38.4</v>
      </c>
      <c r="F15" s="110"/>
      <c r="G15" s="105"/>
      <c r="H15" s="105"/>
      <c r="I15" s="106">
        <f t="shared" si="4"/>
        <v>50000</v>
      </c>
      <c r="J15" s="122">
        <f t="shared" si="2"/>
        <v>50000</v>
      </c>
      <c r="K15" s="136" t="s">
        <v>3</v>
      </c>
      <c r="L15" s="132"/>
      <c r="M15" s="133"/>
      <c r="N15" s="109"/>
      <c r="O15" s="119">
        <v>5000000</v>
      </c>
      <c r="Q15" s="200"/>
      <c r="R15" s="103">
        <v>32</v>
      </c>
      <c r="S15" s="196">
        <f t="shared" si="3"/>
        <v>38.4</v>
      </c>
    </row>
    <row r="16" spans="2:19" s="107" customFormat="1" ht="18" customHeight="1">
      <c r="B16" s="100" t="s">
        <v>29</v>
      </c>
      <c r="C16" s="111">
        <v>7.8</v>
      </c>
      <c r="D16" s="110">
        <v>14</v>
      </c>
      <c r="E16" s="108">
        <f t="shared" si="0"/>
        <v>44.4</v>
      </c>
      <c r="F16" s="104">
        <v>12.72</v>
      </c>
      <c r="G16" s="105"/>
      <c r="H16" s="105"/>
      <c r="I16" s="106">
        <f t="shared" si="4"/>
        <v>350000</v>
      </c>
      <c r="J16" s="122">
        <f t="shared" si="2"/>
        <v>350000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200"/>
      <c r="R16" s="103">
        <v>37</v>
      </c>
      <c r="S16" s="196">
        <f t="shared" si="3"/>
        <v>44.4</v>
      </c>
    </row>
    <row r="17" spans="2:19" s="107" customFormat="1" ht="18" customHeight="1">
      <c r="B17" s="100" t="s">
        <v>83</v>
      </c>
      <c r="C17" s="111">
        <v>7.5</v>
      </c>
      <c r="D17" s="110"/>
      <c r="E17" s="108"/>
      <c r="F17" s="104"/>
      <c r="G17" s="110"/>
      <c r="H17" s="110"/>
      <c r="I17" s="106">
        <f t="shared" si="4"/>
        <v>0</v>
      </c>
      <c r="J17" s="122">
        <f t="shared" si="2"/>
        <v>0</v>
      </c>
      <c r="Q17" s="200"/>
      <c r="R17" s="112"/>
      <c r="S17" s="196">
        <f t="shared" si="3"/>
        <v>0</v>
      </c>
    </row>
    <row r="18" spans="2:19" s="107" customFormat="1" ht="18" customHeight="1">
      <c r="B18" s="100" t="s">
        <v>77</v>
      </c>
      <c r="C18" s="101">
        <v>9.6</v>
      </c>
      <c r="D18" s="102"/>
      <c r="E18" s="108"/>
      <c r="F18" s="104"/>
      <c r="G18" s="110"/>
      <c r="H18" s="110"/>
      <c r="I18" s="106">
        <f t="shared" si="4"/>
        <v>0</v>
      </c>
      <c r="J18" s="122">
        <f t="shared" si="2"/>
        <v>0</v>
      </c>
      <c r="P18" s="114"/>
      <c r="Q18" s="200"/>
      <c r="R18" s="103"/>
      <c r="S18" s="196">
        <f t="shared" si="3"/>
        <v>0</v>
      </c>
    </row>
    <row r="19" spans="2:19" s="107" customFormat="1" ht="18" customHeight="1">
      <c r="B19" s="117" t="s">
        <v>65</v>
      </c>
      <c r="C19" s="118">
        <v>11.2</v>
      </c>
      <c r="D19" s="105"/>
      <c r="E19" s="108"/>
      <c r="F19" s="104"/>
      <c r="G19" s="105"/>
      <c r="H19" s="105"/>
      <c r="I19" s="106">
        <f t="shared" si="4"/>
        <v>0</v>
      </c>
      <c r="J19" s="122">
        <f t="shared" si="2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200"/>
      <c r="R19" s="103"/>
      <c r="S19" s="196">
        <f t="shared" si="3"/>
        <v>0</v>
      </c>
    </row>
    <row r="20" spans="2:19" s="107" customFormat="1" ht="18" customHeight="1">
      <c r="B20" s="100" t="s">
        <v>64</v>
      </c>
      <c r="C20" s="101">
        <v>14.2</v>
      </c>
      <c r="D20" s="105"/>
      <c r="E20" s="108"/>
      <c r="F20" s="110"/>
      <c r="G20" s="105"/>
      <c r="H20" s="105"/>
      <c r="I20" s="106">
        <f t="shared" si="4"/>
        <v>0</v>
      </c>
      <c r="J20" s="122">
        <f t="shared" si="2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200"/>
      <c r="R20" s="103"/>
      <c r="S20" s="196">
        <f t="shared" si="3"/>
        <v>0</v>
      </c>
    </row>
    <row r="21" spans="2:19" s="4" customFormat="1" ht="18" customHeight="1">
      <c r="B21" s="100" t="s">
        <v>66</v>
      </c>
      <c r="C21" s="101">
        <v>16.9</v>
      </c>
      <c r="D21" s="105"/>
      <c r="E21" s="108"/>
      <c r="F21" s="104"/>
      <c r="G21" s="110"/>
      <c r="H21" s="110"/>
      <c r="I21" s="106">
        <f t="shared" si="4"/>
        <v>0</v>
      </c>
      <c r="J21" s="122">
        <f t="shared" si="2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  <c r="Q21" s="198"/>
      <c r="R21" s="103"/>
      <c r="S21" s="196">
        <f t="shared" si="3"/>
        <v>0</v>
      </c>
    </row>
    <row r="22" spans="2:19" s="4" customFormat="1" ht="18" customHeight="1">
      <c r="B22" s="100" t="s">
        <v>80</v>
      </c>
      <c r="C22" s="101">
        <v>19.1</v>
      </c>
      <c r="D22" s="105"/>
      <c r="E22" s="103"/>
      <c r="F22" s="104"/>
      <c r="G22" s="110"/>
      <c r="H22" s="110"/>
      <c r="I22" s="106">
        <f t="shared" si="4"/>
        <v>0</v>
      </c>
      <c r="J22" s="122">
        <f t="shared" si="2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  <c r="Q22" s="198"/>
      <c r="R22" s="103"/>
      <c r="S22" s="196">
        <f t="shared" si="3"/>
        <v>0</v>
      </c>
    </row>
    <row r="23" spans="2:19" s="4" customFormat="1" ht="18" customHeight="1">
      <c r="B23" s="100" t="s">
        <v>68</v>
      </c>
      <c r="C23" s="101">
        <v>19.9</v>
      </c>
      <c r="D23" s="105"/>
      <c r="E23" s="103"/>
      <c r="F23" s="104"/>
      <c r="G23" s="110"/>
      <c r="H23" s="110"/>
      <c r="I23" s="106">
        <f t="shared" si="4"/>
        <v>0</v>
      </c>
      <c r="J23" s="122">
        <f t="shared" si="2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  <c r="Q23" s="198"/>
      <c r="R23" s="103"/>
      <c r="S23" s="196">
        <f t="shared" si="3"/>
        <v>0</v>
      </c>
    </row>
    <row r="24" spans="2:19" s="4" customFormat="1" ht="18" customHeight="1">
      <c r="B24" s="100" t="s">
        <v>58</v>
      </c>
      <c r="C24" s="101">
        <v>22.2</v>
      </c>
      <c r="D24" s="108"/>
      <c r="E24" s="103"/>
      <c r="F24" s="110"/>
      <c r="G24" s="110"/>
      <c r="H24" s="110"/>
      <c r="I24" s="106">
        <f t="shared" si="4"/>
        <v>0</v>
      </c>
      <c r="J24" s="122">
        <f t="shared" si="2"/>
        <v>0</v>
      </c>
      <c r="M24" s="120"/>
      <c r="N24" s="121"/>
      <c r="O24" s="121"/>
      <c r="Q24" s="198"/>
      <c r="R24" s="103"/>
      <c r="S24" s="196">
        <f t="shared" si="3"/>
        <v>0</v>
      </c>
    </row>
    <row r="25" spans="2:19" s="4" customFormat="1" ht="18" customHeight="1">
      <c r="B25" s="100" t="s">
        <v>63</v>
      </c>
      <c r="C25" s="111">
        <v>23.6</v>
      </c>
      <c r="D25" s="108"/>
      <c r="E25" s="103"/>
      <c r="F25" s="104"/>
      <c r="G25" s="110"/>
      <c r="H25" s="110"/>
      <c r="I25" s="106">
        <f t="shared" si="4"/>
        <v>0</v>
      </c>
      <c r="J25" s="122">
        <f t="shared" si="2"/>
        <v>0</v>
      </c>
      <c r="M25" s="120"/>
      <c r="N25" s="121"/>
      <c r="O25" s="121"/>
      <c r="Q25" s="198"/>
      <c r="R25" s="108"/>
      <c r="S25" s="196">
        <f t="shared" si="3"/>
        <v>0</v>
      </c>
    </row>
    <row r="26" spans="2:19" s="4" customFormat="1" ht="18" customHeight="1">
      <c r="B26" s="100" t="s">
        <v>69</v>
      </c>
      <c r="C26" s="101">
        <v>26.8</v>
      </c>
      <c r="D26" s="105"/>
      <c r="E26" s="108"/>
      <c r="F26" s="104"/>
      <c r="G26" s="110"/>
      <c r="H26" s="110"/>
      <c r="I26" s="106">
        <f t="shared" si="4"/>
        <v>0</v>
      </c>
      <c r="J26" s="122">
        <f t="shared" si="2"/>
        <v>0</v>
      </c>
      <c r="K26" s="110" t="s">
        <v>19</v>
      </c>
      <c r="L26" s="110" t="s">
        <v>5</v>
      </c>
      <c r="M26" s="110"/>
      <c r="N26" s="106" t="s">
        <v>17</v>
      </c>
      <c r="O26" s="106"/>
      <c r="Q26" s="198"/>
      <c r="R26" s="103"/>
      <c r="S26" s="196">
        <f t="shared" si="3"/>
        <v>0</v>
      </c>
    </row>
    <row r="27" spans="2:19" s="4" customFormat="1" ht="18" customHeight="1">
      <c r="B27" s="100" t="s">
        <v>81</v>
      </c>
      <c r="C27" s="101">
        <v>30</v>
      </c>
      <c r="D27" s="105"/>
      <c r="E27" s="108"/>
      <c r="F27" s="110"/>
      <c r="G27" s="105"/>
      <c r="H27" s="105"/>
      <c r="I27" s="106">
        <f t="shared" si="4"/>
        <v>0</v>
      </c>
      <c r="J27" s="122">
        <f t="shared" si="2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  <c r="Q27" s="198"/>
      <c r="R27" s="112"/>
      <c r="S27" s="196">
        <f t="shared" si="3"/>
        <v>0</v>
      </c>
    </row>
    <row r="28" spans="2:19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4"/>
        <v>0</v>
      </c>
      <c r="J28" s="122">
        <f t="shared" si="2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  <c r="Q28" s="198"/>
      <c r="R28" s="103"/>
      <c r="S28" s="196">
        <f t="shared" si="3"/>
        <v>0</v>
      </c>
    </row>
    <row r="29" spans="2:19" ht="24" customHeight="1" thickBot="1">
      <c r="B29" s="1"/>
      <c r="C29" s="2"/>
      <c r="D29" s="3"/>
      <c r="E29" s="3"/>
      <c r="F29" s="3"/>
      <c r="G29" s="2"/>
      <c r="H29" s="2"/>
      <c r="I29" s="82">
        <f>SUM(I5:I28)</f>
        <v>5900000</v>
      </c>
      <c r="J29" s="123"/>
      <c r="Q29" s="205"/>
      <c r="R29" s="205"/>
      <c r="S29" s="205"/>
    </row>
    <row r="30" spans="2:10" ht="24" customHeight="1" thickTop="1">
      <c r="B30" s="1"/>
      <c r="C30" s="2"/>
      <c r="D30" s="3"/>
      <c r="E30" s="3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V4" sqref="V4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11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68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221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9" s="4" customFormat="1" ht="29.25" customHeight="1">
      <c r="C3" s="250" t="s">
        <v>220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Q3" s="198"/>
      <c r="R3" s="198"/>
      <c r="S3" s="198"/>
    </row>
    <row r="4" spans="2:19" s="7" customFormat="1" ht="27" customHeight="1">
      <c r="B4" s="5" t="s">
        <v>0</v>
      </c>
      <c r="C4" s="6" t="s">
        <v>1</v>
      </c>
      <c r="D4" s="6" t="s">
        <v>7</v>
      </c>
      <c r="E4" s="169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  <c r="Q4" s="199"/>
      <c r="R4" s="199"/>
      <c r="S4" s="199"/>
    </row>
    <row r="5" spans="2:19" s="107" customFormat="1" ht="18" customHeight="1">
      <c r="B5" s="117" t="s">
        <v>30</v>
      </c>
      <c r="C5" s="118">
        <v>10</v>
      </c>
      <c r="D5" s="105">
        <v>69</v>
      </c>
      <c r="E5" s="108">
        <v>27</v>
      </c>
      <c r="F5" s="104"/>
      <c r="G5" s="105">
        <v>1</v>
      </c>
      <c r="H5" s="113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200"/>
      <c r="R5" s="201"/>
      <c r="S5" s="202"/>
    </row>
    <row r="6" spans="2:19" s="107" customFormat="1" ht="18" customHeight="1">
      <c r="B6" s="100" t="s">
        <v>29</v>
      </c>
      <c r="C6" s="111">
        <v>7.8</v>
      </c>
      <c r="D6" s="110">
        <v>71</v>
      </c>
      <c r="E6" s="103">
        <v>25</v>
      </c>
      <c r="F6" s="104"/>
      <c r="G6" s="105">
        <v>2</v>
      </c>
      <c r="H6" s="109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200"/>
      <c r="R6" s="203"/>
      <c r="S6" s="202"/>
    </row>
    <row r="7" spans="2:19" s="107" customFormat="1" ht="18" customHeight="1">
      <c r="B7" s="117" t="s">
        <v>65</v>
      </c>
      <c r="C7" s="118">
        <v>11.2</v>
      </c>
      <c r="D7" s="110">
        <v>71</v>
      </c>
      <c r="E7" s="108">
        <v>27</v>
      </c>
      <c r="F7" s="104"/>
      <c r="G7" s="110">
        <v>3</v>
      </c>
      <c r="H7" s="109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200"/>
      <c r="R7" s="201"/>
      <c r="S7" s="202"/>
    </row>
    <row r="8" spans="2:19" s="107" customFormat="1" ht="18" customHeight="1">
      <c r="B8" s="100" t="s">
        <v>79</v>
      </c>
      <c r="C8" s="101">
        <v>5.9</v>
      </c>
      <c r="D8" s="105">
        <v>73</v>
      </c>
      <c r="E8" s="103">
        <v>25</v>
      </c>
      <c r="F8" s="104"/>
      <c r="G8" s="105">
        <v>4</v>
      </c>
      <c r="H8" s="109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200"/>
      <c r="R8" s="201"/>
      <c r="S8" s="202"/>
    </row>
    <row r="9" spans="2:19" s="107" customFormat="1" ht="18" customHeight="1">
      <c r="B9" s="100" t="s">
        <v>192</v>
      </c>
      <c r="C9" s="101">
        <v>17.1</v>
      </c>
      <c r="D9" s="102">
        <v>74</v>
      </c>
      <c r="E9" s="103">
        <v>29</v>
      </c>
      <c r="F9" s="110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200"/>
      <c r="R9" s="203"/>
      <c r="S9" s="202"/>
    </row>
    <row r="10" spans="2:19" s="107" customFormat="1" ht="18" customHeight="1">
      <c r="B10" s="100" t="s">
        <v>61</v>
      </c>
      <c r="C10" s="101">
        <v>8.7</v>
      </c>
      <c r="D10" s="105">
        <v>75</v>
      </c>
      <c r="E10" s="103">
        <v>31</v>
      </c>
      <c r="F10" s="110"/>
      <c r="G10" s="116">
        <v>6</v>
      </c>
      <c r="H10" s="109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200"/>
      <c r="R10" s="203"/>
      <c r="S10" s="202"/>
    </row>
    <row r="11" spans="2:19" s="107" customFormat="1" ht="18" customHeight="1">
      <c r="B11" s="100" t="s">
        <v>67</v>
      </c>
      <c r="C11" s="101">
        <v>16.6</v>
      </c>
      <c r="D11" s="105">
        <v>75</v>
      </c>
      <c r="E11" s="108">
        <v>32</v>
      </c>
      <c r="F11" s="110"/>
      <c r="G11" s="105">
        <v>7</v>
      </c>
      <c r="H11" s="109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200"/>
      <c r="R11" s="203"/>
      <c r="S11" s="202"/>
    </row>
    <row r="12" spans="2:19" s="107" customFormat="1" ht="18" customHeight="1">
      <c r="B12" s="100" t="s">
        <v>59</v>
      </c>
      <c r="C12" s="101">
        <v>21.4</v>
      </c>
      <c r="D12" s="105">
        <v>75</v>
      </c>
      <c r="E12" s="103">
        <v>33</v>
      </c>
      <c r="F12" s="104"/>
      <c r="G12" s="105">
        <v>8</v>
      </c>
      <c r="H12" s="109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200"/>
      <c r="R12" s="203"/>
      <c r="S12" s="202"/>
    </row>
    <row r="13" spans="2:19" s="107" customFormat="1" ht="18" customHeight="1">
      <c r="B13" s="100" t="s">
        <v>70</v>
      </c>
      <c r="C13" s="101">
        <v>19.6</v>
      </c>
      <c r="D13" s="105">
        <v>78</v>
      </c>
      <c r="E13" s="103">
        <v>35</v>
      </c>
      <c r="F13" s="110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200"/>
      <c r="R13" s="201"/>
      <c r="S13" s="202"/>
    </row>
    <row r="14" spans="2:19" s="107" customFormat="1" ht="18" customHeight="1">
      <c r="B14" s="100" t="s">
        <v>64</v>
      </c>
      <c r="C14" s="101">
        <v>14.2</v>
      </c>
      <c r="D14" s="108">
        <v>81</v>
      </c>
      <c r="E14" s="108">
        <v>33</v>
      </c>
      <c r="F14" s="104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200"/>
      <c r="R14" s="203"/>
      <c r="S14" s="202"/>
    </row>
    <row r="15" spans="2:19" s="107" customFormat="1" ht="18" customHeight="1">
      <c r="B15" s="100" t="s">
        <v>82</v>
      </c>
      <c r="C15" s="101">
        <v>19.8</v>
      </c>
      <c r="D15" s="105">
        <v>81</v>
      </c>
      <c r="E15" s="103">
        <v>35</v>
      </c>
      <c r="F15" s="110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200"/>
      <c r="R15" s="201"/>
      <c r="S15" s="202"/>
    </row>
    <row r="16" spans="2:19" s="107" customFormat="1" ht="18" customHeight="1">
      <c r="B16" s="100" t="s">
        <v>69</v>
      </c>
      <c r="C16" s="101">
        <v>26.8</v>
      </c>
      <c r="D16" s="108">
        <v>84</v>
      </c>
      <c r="E16" s="103">
        <v>28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200"/>
      <c r="R16" s="201"/>
      <c r="S16" s="202"/>
    </row>
    <row r="17" spans="2:19" s="107" customFormat="1" ht="18" customHeight="1">
      <c r="B17" s="100" t="s">
        <v>80</v>
      </c>
      <c r="C17" s="101">
        <v>19.1</v>
      </c>
      <c r="D17" s="105">
        <v>85</v>
      </c>
      <c r="E17" s="108">
        <v>37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200"/>
      <c r="R17" s="203"/>
      <c r="S17" s="202"/>
    </row>
    <row r="18" spans="2:19" s="107" customFormat="1" ht="18" customHeight="1">
      <c r="B18" s="100" t="s">
        <v>60</v>
      </c>
      <c r="C18" s="111">
        <v>23.7</v>
      </c>
      <c r="D18" s="105">
        <v>89</v>
      </c>
      <c r="E18" s="103">
        <v>37</v>
      </c>
      <c r="F18" s="104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200"/>
      <c r="R18" s="201"/>
      <c r="S18" s="202"/>
    </row>
    <row r="19" spans="2:19" s="107" customFormat="1" ht="18" customHeight="1">
      <c r="B19" s="100" t="s">
        <v>83</v>
      </c>
      <c r="C19" s="111">
        <v>7.5</v>
      </c>
      <c r="D19" s="108"/>
      <c r="E19" s="108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200"/>
      <c r="R19" s="201"/>
      <c r="S19" s="202"/>
    </row>
    <row r="20" spans="2:19" s="107" customFormat="1" ht="18" customHeight="1">
      <c r="B20" s="100" t="s">
        <v>77</v>
      </c>
      <c r="C20" s="101">
        <v>9.6</v>
      </c>
      <c r="D20" s="105"/>
      <c r="E20" s="108"/>
      <c r="F20" s="104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200"/>
      <c r="R20" s="201"/>
      <c r="S20" s="202"/>
    </row>
    <row r="21" spans="2:19" s="4" customFormat="1" ht="18" customHeight="1">
      <c r="B21" s="100" t="s">
        <v>78</v>
      </c>
      <c r="C21" s="101">
        <v>16.2</v>
      </c>
      <c r="D21" s="112"/>
      <c r="E21" s="103"/>
      <c r="F21" s="110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  <c r="Q21" s="198"/>
      <c r="R21" s="201"/>
      <c r="S21" s="202"/>
    </row>
    <row r="22" spans="2:19" s="4" customFormat="1" ht="18" customHeight="1">
      <c r="B22" s="100" t="s">
        <v>66</v>
      </c>
      <c r="C22" s="101">
        <v>16.9</v>
      </c>
      <c r="D22" s="108"/>
      <c r="E22" s="103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  <c r="Q22" s="198"/>
      <c r="R22" s="201"/>
      <c r="S22" s="202"/>
    </row>
    <row r="23" spans="2:19" s="4" customFormat="1" ht="18" customHeight="1">
      <c r="B23" s="100" t="s">
        <v>68</v>
      </c>
      <c r="C23" s="101">
        <v>19.9</v>
      </c>
      <c r="D23" s="108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  <c r="Q23" s="198"/>
      <c r="R23" s="201"/>
      <c r="S23" s="202"/>
    </row>
    <row r="24" spans="2:19" s="4" customFormat="1" ht="18" customHeight="1">
      <c r="B24" s="100" t="s">
        <v>58</v>
      </c>
      <c r="C24" s="101">
        <v>22.2</v>
      </c>
      <c r="D24" s="105"/>
      <c r="E24" s="103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  <c r="Q24" s="198"/>
      <c r="R24" s="201"/>
      <c r="S24" s="202"/>
    </row>
    <row r="25" spans="2:19" s="4" customFormat="1" ht="18" customHeight="1">
      <c r="B25" s="100" t="s">
        <v>63</v>
      </c>
      <c r="C25" s="111">
        <v>23.6</v>
      </c>
      <c r="D25" s="105"/>
      <c r="E25" s="103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  <c r="Q25" s="198"/>
      <c r="R25" s="204"/>
      <c r="S25" s="202"/>
    </row>
    <row r="26" spans="2:19" s="4" customFormat="1" ht="18" customHeight="1">
      <c r="B26" s="100" t="s">
        <v>62</v>
      </c>
      <c r="C26" s="101">
        <v>24.2</v>
      </c>
      <c r="D26" s="105"/>
      <c r="E26" s="108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  <c r="Q26" s="198"/>
      <c r="R26" s="201"/>
      <c r="S26" s="202"/>
    </row>
    <row r="27" spans="2:19" s="4" customFormat="1" ht="18" customHeight="1">
      <c r="B27" s="100" t="s">
        <v>81</v>
      </c>
      <c r="C27" s="101">
        <v>30</v>
      </c>
      <c r="D27" s="105"/>
      <c r="E27" s="108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  <c r="Q27" s="198"/>
      <c r="R27" s="203"/>
      <c r="S27" s="202"/>
    </row>
    <row r="28" spans="2:19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  <c r="Q28" s="198"/>
      <c r="R28" s="201"/>
      <c r="S28" s="202"/>
    </row>
    <row r="29" spans="2:19" ht="24" customHeight="1" thickBot="1">
      <c r="B29" s="1"/>
      <c r="C29" s="2"/>
      <c r="D29" s="3"/>
      <c r="E29" s="3"/>
      <c r="F29" s="3"/>
      <c r="G29" s="2"/>
      <c r="H29" s="2"/>
      <c r="I29" s="82">
        <f>SUM(I5:I28)</f>
        <v>5700000</v>
      </c>
      <c r="J29" s="123"/>
      <c r="Q29" s="205"/>
      <c r="R29" s="205"/>
      <c r="S29" s="205"/>
    </row>
    <row r="30" spans="2:10" ht="24" customHeight="1" thickTop="1">
      <c r="B30" s="1"/>
      <c r="C30" s="2"/>
      <c r="D30" s="3"/>
      <c r="E30" s="3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R4" sqref="R4:S28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11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68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214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213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9" s="7" customFormat="1" ht="27" customHeight="1">
      <c r="B4" s="5" t="s">
        <v>0</v>
      </c>
      <c r="C4" s="6" t="s">
        <v>1</v>
      </c>
      <c r="D4" s="6" t="s">
        <v>7</v>
      </c>
      <c r="E4" s="169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  <c r="R4" s="7" t="s">
        <v>2</v>
      </c>
      <c r="S4" s="7" t="s">
        <v>215</v>
      </c>
    </row>
    <row r="5" spans="2:19" s="107" customFormat="1" ht="18" customHeight="1">
      <c r="B5" s="117" t="s">
        <v>30</v>
      </c>
      <c r="C5" s="118">
        <v>10</v>
      </c>
      <c r="D5" s="105">
        <v>20</v>
      </c>
      <c r="E5" s="103">
        <v>30.6</v>
      </c>
      <c r="F5" s="104"/>
      <c r="G5" s="105">
        <v>1</v>
      </c>
      <c r="H5" s="113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R5" s="103">
        <v>17</v>
      </c>
      <c r="S5" s="196">
        <f>R5*18/10</f>
        <v>30.6</v>
      </c>
    </row>
    <row r="6" spans="2:19" s="107" customFormat="1" ht="18" customHeight="1">
      <c r="B6" s="100" t="s">
        <v>59</v>
      </c>
      <c r="C6" s="101">
        <v>21.4</v>
      </c>
      <c r="D6" s="108">
        <v>20</v>
      </c>
      <c r="E6" s="108">
        <v>37.8</v>
      </c>
      <c r="F6" s="104"/>
      <c r="G6" s="105">
        <v>2</v>
      </c>
      <c r="H6" s="109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R6" s="112">
        <v>21</v>
      </c>
      <c r="S6" s="196">
        <f aca="true" t="shared" si="2" ref="S6:S28">R6*18/10</f>
        <v>37.8</v>
      </c>
    </row>
    <row r="7" spans="2:19" s="107" customFormat="1" ht="18" customHeight="1">
      <c r="B7" s="100" t="s">
        <v>78</v>
      </c>
      <c r="C7" s="101">
        <v>16.2</v>
      </c>
      <c r="D7" s="110">
        <v>18</v>
      </c>
      <c r="E7" s="103">
        <v>32.4</v>
      </c>
      <c r="F7" s="104"/>
      <c r="G7" s="110">
        <v>3</v>
      </c>
      <c r="H7" s="109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R7" s="103">
        <v>18</v>
      </c>
      <c r="S7" s="196">
        <f t="shared" si="2"/>
        <v>32.4</v>
      </c>
    </row>
    <row r="8" spans="2:19" s="107" customFormat="1" ht="18" customHeight="1">
      <c r="B8" s="100" t="s">
        <v>61</v>
      </c>
      <c r="C8" s="101">
        <v>8.7</v>
      </c>
      <c r="D8" s="105">
        <v>17</v>
      </c>
      <c r="E8" s="103">
        <v>28.8</v>
      </c>
      <c r="F8" s="104"/>
      <c r="G8" s="105">
        <v>4</v>
      </c>
      <c r="H8" s="109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R8" s="103">
        <v>16</v>
      </c>
      <c r="S8" s="196">
        <f t="shared" si="2"/>
        <v>28.8</v>
      </c>
    </row>
    <row r="9" spans="2:19" s="107" customFormat="1" ht="18" customHeight="1">
      <c r="B9" s="100" t="s">
        <v>77</v>
      </c>
      <c r="C9" s="101">
        <v>9.6</v>
      </c>
      <c r="D9" s="105">
        <v>17</v>
      </c>
      <c r="E9" s="108">
        <v>36</v>
      </c>
      <c r="F9" s="110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R9" s="112">
        <v>20</v>
      </c>
      <c r="S9" s="196">
        <f t="shared" si="2"/>
        <v>36</v>
      </c>
    </row>
    <row r="10" spans="2:19" s="107" customFormat="1" ht="18" customHeight="1">
      <c r="B10" s="100" t="s">
        <v>29</v>
      </c>
      <c r="C10" s="111">
        <v>7.8</v>
      </c>
      <c r="D10" s="105">
        <v>15</v>
      </c>
      <c r="E10" s="108">
        <v>34.2</v>
      </c>
      <c r="F10" s="110"/>
      <c r="G10" s="116">
        <v>6</v>
      </c>
      <c r="H10" s="109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R10" s="112">
        <v>19</v>
      </c>
      <c r="S10" s="196">
        <f t="shared" si="2"/>
        <v>34.2</v>
      </c>
    </row>
    <row r="11" spans="2:19" s="107" customFormat="1" ht="18" customHeight="1">
      <c r="B11" s="117" t="s">
        <v>65</v>
      </c>
      <c r="C11" s="118">
        <v>11.2</v>
      </c>
      <c r="D11" s="110">
        <v>15</v>
      </c>
      <c r="E11" s="108">
        <v>34.2</v>
      </c>
      <c r="F11" s="110">
        <v>2.52</v>
      </c>
      <c r="G11" s="105">
        <v>7</v>
      </c>
      <c r="H11" s="109">
        <v>2</v>
      </c>
      <c r="I11" s="106">
        <f t="shared" si="0"/>
        <v>650000</v>
      </c>
      <c r="J11" s="122">
        <f t="shared" si="1"/>
        <v>350000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R11" s="112">
        <v>19</v>
      </c>
      <c r="S11" s="196">
        <f t="shared" si="2"/>
        <v>34.2</v>
      </c>
    </row>
    <row r="12" spans="2:19" s="107" customFormat="1" ht="18" customHeight="1">
      <c r="B12" s="100" t="s">
        <v>62</v>
      </c>
      <c r="C12" s="101">
        <v>24.2</v>
      </c>
      <c r="D12" s="108">
        <v>15</v>
      </c>
      <c r="E12" s="108">
        <v>32.4</v>
      </c>
      <c r="F12" s="104"/>
      <c r="G12" s="105">
        <v>8</v>
      </c>
      <c r="H12" s="109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R12" s="112">
        <v>18</v>
      </c>
      <c r="S12" s="196">
        <f t="shared" si="2"/>
        <v>32.4</v>
      </c>
    </row>
    <row r="13" spans="2:19" s="107" customFormat="1" ht="18" customHeight="1">
      <c r="B13" s="100" t="s">
        <v>67</v>
      </c>
      <c r="C13" s="101">
        <v>16.6</v>
      </c>
      <c r="D13" s="112">
        <v>14</v>
      </c>
      <c r="E13" s="103">
        <v>25.2</v>
      </c>
      <c r="F13" s="110"/>
      <c r="G13" s="102"/>
      <c r="H13" s="105"/>
      <c r="I13" s="106">
        <f aca="true" t="shared" si="3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R13" s="103">
        <v>14</v>
      </c>
      <c r="S13" s="196">
        <f t="shared" si="2"/>
        <v>25.2</v>
      </c>
    </row>
    <row r="14" spans="2:19" s="107" customFormat="1" ht="18" customHeight="1">
      <c r="B14" s="100" t="s">
        <v>82</v>
      </c>
      <c r="C14" s="101">
        <v>19.8</v>
      </c>
      <c r="D14" s="105">
        <v>14</v>
      </c>
      <c r="E14" s="108">
        <v>37.8</v>
      </c>
      <c r="F14" s="104"/>
      <c r="G14" s="105"/>
      <c r="H14" s="105"/>
      <c r="I14" s="106">
        <f t="shared" si="3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R14" s="112">
        <v>21</v>
      </c>
      <c r="S14" s="196">
        <f t="shared" si="2"/>
        <v>37.8</v>
      </c>
    </row>
    <row r="15" spans="2:19" s="107" customFormat="1" ht="18" customHeight="1">
      <c r="B15" s="100" t="s">
        <v>60</v>
      </c>
      <c r="C15" s="111">
        <v>23.7</v>
      </c>
      <c r="D15" s="108">
        <v>14</v>
      </c>
      <c r="E15" s="103">
        <v>37.8</v>
      </c>
      <c r="F15" s="110"/>
      <c r="G15" s="105"/>
      <c r="H15" s="105"/>
      <c r="I15" s="106">
        <f t="shared" si="3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R15" s="103">
        <v>21</v>
      </c>
      <c r="S15" s="196">
        <f t="shared" si="2"/>
        <v>37.8</v>
      </c>
    </row>
    <row r="16" spans="2:19" s="107" customFormat="1" ht="18" customHeight="1">
      <c r="B16" s="100" t="s">
        <v>64</v>
      </c>
      <c r="C16" s="101">
        <v>14.2</v>
      </c>
      <c r="D16" s="102">
        <v>11</v>
      </c>
      <c r="E16" s="103">
        <v>37.8</v>
      </c>
      <c r="F16" s="104"/>
      <c r="G16" s="105"/>
      <c r="H16" s="105"/>
      <c r="I16" s="106">
        <f t="shared" si="3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R16" s="103">
        <v>21</v>
      </c>
      <c r="S16" s="196">
        <f t="shared" si="2"/>
        <v>37.8</v>
      </c>
    </row>
    <row r="17" spans="2:19" s="107" customFormat="1" ht="18" customHeight="1">
      <c r="B17" s="100" t="s">
        <v>79</v>
      </c>
      <c r="C17" s="101">
        <v>5.9</v>
      </c>
      <c r="D17" s="105">
        <v>10</v>
      </c>
      <c r="E17" s="108">
        <v>36</v>
      </c>
      <c r="F17" s="104"/>
      <c r="G17" s="110"/>
      <c r="H17" s="110"/>
      <c r="I17" s="106">
        <f t="shared" si="3"/>
        <v>50000</v>
      </c>
      <c r="J17" s="122">
        <f t="shared" si="1"/>
        <v>50000</v>
      </c>
      <c r="R17" s="112">
        <v>20</v>
      </c>
      <c r="S17" s="196">
        <f t="shared" si="2"/>
        <v>36</v>
      </c>
    </row>
    <row r="18" spans="2:19" s="107" customFormat="1" ht="18" customHeight="1">
      <c r="B18" s="100" t="s">
        <v>69</v>
      </c>
      <c r="C18" s="101">
        <v>26.8</v>
      </c>
      <c r="D18" s="105">
        <v>9</v>
      </c>
      <c r="E18" s="103">
        <v>43.2</v>
      </c>
      <c r="F18" s="104"/>
      <c r="G18" s="110"/>
      <c r="H18" s="110"/>
      <c r="I18" s="106">
        <f t="shared" si="3"/>
        <v>50000</v>
      </c>
      <c r="J18" s="122">
        <f t="shared" si="1"/>
        <v>50000</v>
      </c>
      <c r="P18" s="114"/>
      <c r="R18" s="103">
        <v>24</v>
      </c>
      <c r="S18" s="196">
        <f t="shared" si="2"/>
        <v>43.2</v>
      </c>
    </row>
    <row r="19" spans="2:19" s="107" customFormat="1" ht="18" customHeight="1">
      <c r="B19" s="100" t="s">
        <v>80</v>
      </c>
      <c r="C19" s="101">
        <v>19.1</v>
      </c>
      <c r="D19" s="105">
        <v>8</v>
      </c>
      <c r="E19" s="103">
        <v>39.6</v>
      </c>
      <c r="F19" s="104"/>
      <c r="G19" s="105"/>
      <c r="H19" s="105"/>
      <c r="I19" s="106">
        <f t="shared" si="3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R19" s="103">
        <v>22</v>
      </c>
      <c r="S19" s="196">
        <f t="shared" si="2"/>
        <v>39.6</v>
      </c>
    </row>
    <row r="20" spans="2:19" s="107" customFormat="1" ht="18" customHeight="1">
      <c r="B20" s="100" t="s">
        <v>83</v>
      </c>
      <c r="C20" s="111">
        <v>7.5</v>
      </c>
      <c r="D20" s="108"/>
      <c r="E20" s="103"/>
      <c r="F20" s="104"/>
      <c r="G20" s="105"/>
      <c r="H20" s="105"/>
      <c r="I20" s="106">
        <f t="shared" si="3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R20" s="103"/>
      <c r="S20" s="196">
        <f t="shared" si="2"/>
        <v>0</v>
      </c>
    </row>
    <row r="21" spans="2:19" s="4" customFormat="1" ht="18" customHeight="1">
      <c r="B21" s="100" t="s">
        <v>66</v>
      </c>
      <c r="C21" s="101">
        <v>16.9</v>
      </c>
      <c r="D21" s="105"/>
      <c r="E21" s="103"/>
      <c r="F21" s="110"/>
      <c r="G21" s="110"/>
      <c r="H21" s="110"/>
      <c r="I21" s="106">
        <f t="shared" si="3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  <c r="R21" s="103"/>
      <c r="S21" s="196">
        <f t="shared" si="2"/>
        <v>0</v>
      </c>
    </row>
    <row r="22" spans="2:19" s="4" customFormat="1" ht="18" customHeight="1">
      <c r="B22" s="100" t="s">
        <v>192</v>
      </c>
      <c r="C22" s="101">
        <v>17.1</v>
      </c>
      <c r="D22" s="105"/>
      <c r="E22" s="103"/>
      <c r="F22" s="104"/>
      <c r="G22" s="110"/>
      <c r="H22" s="110"/>
      <c r="I22" s="106">
        <f t="shared" si="3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  <c r="R22" s="103"/>
      <c r="S22" s="196">
        <f t="shared" si="2"/>
        <v>0</v>
      </c>
    </row>
    <row r="23" spans="2:19" s="4" customFormat="1" ht="18" customHeight="1">
      <c r="B23" s="100" t="s">
        <v>70</v>
      </c>
      <c r="C23" s="101">
        <v>19.6</v>
      </c>
      <c r="D23" s="105"/>
      <c r="E23" s="103"/>
      <c r="F23" s="104"/>
      <c r="G23" s="110"/>
      <c r="H23" s="110"/>
      <c r="I23" s="106">
        <f t="shared" si="3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  <c r="R23" s="103"/>
      <c r="S23" s="196">
        <f t="shared" si="2"/>
        <v>0</v>
      </c>
    </row>
    <row r="24" spans="2:19" s="4" customFormat="1" ht="18" customHeight="1">
      <c r="B24" s="100" t="s">
        <v>68</v>
      </c>
      <c r="C24" s="101">
        <v>19.9</v>
      </c>
      <c r="D24" s="105"/>
      <c r="E24" s="103"/>
      <c r="F24" s="110"/>
      <c r="G24" s="110"/>
      <c r="H24" s="110"/>
      <c r="I24" s="106">
        <f t="shared" si="3"/>
        <v>0</v>
      </c>
      <c r="J24" s="122">
        <f t="shared" si="1"/>
        <v>0</v>
      </c>
      <c r="M24" s="120"/>
      <c r="N24" s="121"/>
      <c r="O24" s="121"/>
      <c r="R24" s="103"/>
      <c r="S24" s="196">
        <f t="shared" si="2"/>
        <v>0</v>
      </c>
    </row>
    <row r="25" spans="2:19" s="4" customFormat="1" ht="18" customHeight="1">
      <c r="B25" s="100" t="s">
        <v>58</v>
      </c>
      <c r="C25" s="101">
        <v>22.2</v>
      </c>
      <c r="D25" s="105"/>
      <c r="E25" s="108"/>
      <c r="F25" s="104"/>
      <c r="G25" s="110"/>
      <c r="H25" s="110"/>
      <c r="I25" s="106">
        <f t="shared" si="3"/>
        <v>0</v>
      </c>
      <c r="J25" s="122">
        <f t="shared" si="1"/>
        <v>0</v>
      </c>
      <c r="M25" s="120"/>
      <c r="N25" s="121"/>
      <c r="O25" s="121"/>
      <c r="R25" s="108"/>
      <c r="S25" s="196">
        <f t="shared" si="2"/>
        <v>0</v>
      </c>
    </row>
    <row r="26" spans="2:19" s="4" customFormat="1" ht="18" customHeight="1">
      <c r="B26" s="100" t="s">
        <v>63</v>
      </c>
      <c r="C26" s="111">
        <v>23.6</v>
      </c>
      <c r="D26" s="108"/>
      <c r="E26" s="103"/>
      <c r="F26" s="104"/>
      <c r="G26" s="110"/>
      <c r="H26" s="110"/>
      <c r="I26" s="106">
        <f t="shared" si="3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  <c r="R26" s="103"/>
      <c r="S26" s="196">
        <f t="shared" si="2"/>
        <v>0</v>
      </c>
    </row>
    <row r="27" spans="2:19" s="4" customFormat="1" ht="18" customHeight="1">
      <c r="B27" s="100" t="s">
        <v>81</v>
      </c>
      <c r="C27" s="101">
        <v>30</v>
      </c>
      <c r="D27" s="105"/>
      <c r="E27" s="108"/>
      <c r="F27" s="110"/>
      <c r="G27" s="105"/>
      <c r="H27" s="105"/>
      <c r="I27" s="106">
        <f t="shared" si="3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  <c r="R27" s="112"/>
      <c r="S27" s="196">
        <f t="shared" si="2"/>
        <v>0</v>
      </c>
    </row>
    <row r="28" spans="2:19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3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  <c r="R28" s="103"/>
      <c r="S28" s="196">
        <f t="shared" si="2"/>
        <v>0</v>
      </c>
    </row>
    <row r="29" spans="2:10" ht="24" customHeight="1" thickBot="1">
      <c r="B29" s="1"/>
      <c r="C29" s="2"/>
      <c r="D29" s="3"/>
      <c r="E29" s="3"/>
      <c r="F29" s="3"/>
      <c r="G29" s="2"/>
      <c r="H29" s="2"/>
      <c r="I29" s="82">
        <f>SUM(I5:I28)</f>
        <v>6050000</v>
      </c>
      <c r="J29" s="123"/>
    </row>
    <row r="30" spans="2:10" ht="24" customHeight="1" thickTop="1">
      <c r="B30" s="1"/>
      <c r="C30" s="2"/>
      <c r="D30" s="3"/>
      <c r="E30" s="3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D30" sqref="D30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218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211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61</v>
      </c>
      <c r="C5" s="101">
        <v>8.6</v>
      </c>
      <c r="D5" s="105">
        <v>35</v>
      </c>
      <c r="E5" s="103">
        <v>31</v>
      </c>
      <c r="F5" s="104" t="s">
        <v>219</v>
      </c>
      <c r="G5" s="105">
        <v>1</v>
      </c>
      <c r="H5" s="113">
        <v>10</v>
      </c>
      <c r="I5" s="106">
        <f aca="true" t="shared" si="0" ref="I5:I12">O7+J5</f>
        <v>1600000</v>
      </c>
      <c r="J5" s="122">
        <f aca="true" t="shared" si="1" ref="J5:J28">IF(F5&gt;0,$O$16,0)+IF(D5,50000,0)</f>
        <v>350000</v>
      </c>
      <c r="K5" s="125"/>
      <c r="L5" s="125"/>
      <c r="M5" s="125"/>
      <c r="Q5" s="156"/>
    </row>
    <row r="6" spans="2:17" s="107" customFormat="1" ht="18" customHeight="1">
      <c r="B6" s="100" t="s">
        <v>63</v>
      </c>
      <c r="C6" s="111">
        <v>23.6</v>
      </c>
      <c r="D6" s="108">
        <v>34</v>
      </c>
      <c r="E6" s="103">
        <v>38</v>
      </c>
      <c r="F6" s="104"/>
      <c r="G6" s="105">
        <v>2</v>
      </c>
      <c r="H6" s="109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59</v>
      </c>
      <c r="C7" s="101">
        <v>21.4</v>
      </c>
      <c r="D7" s="108">
        <v>32</v>
      </c>
      <c r="E7" s="112">
        <v>33</v>
      </c>
      <c r="F7" s="110"/>
      <c r="G7" s="110">
        <v>3</v>
      </c>
      <c r="H7" s="109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29</v>
      </c>
      <c r="C8" s="111">
        <v>7.8</v>
      </c>
      <c r="D8" s="105">
        <v>31</v>
      </c>
      <c r="E8" s="112">
        <v>31</v>
      </c>
      <c r="F8" s="104" t="s">
        <v>21</v>
      </c>
      <c r="G8" s="105">
        <v>4</v>
      </c>
      <c r="H8" s="109">
        <v>5</v>
      </c>
      <c r="I8" s="106">
        <v>1550000</v>
      </c>
      <c r="J8" s="122">
        <f t="shared" si="1"/>
        <v>350000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64</v>
      </c>
      <c r="C9" s="101">
        <v>14.2</v>
      </c>
      <c r="D9" s="102">
        <v>31</v>
      </c>
      <c r="E9" s="103">
        <v>32</v>
      </c>
      <c r="F9" s="110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58</v>
      </c>
      <c r="C10" s="101">
        <v>24.5</v>
      </c>
      <c r="D10" s="105">
        <v>30</v>
      </c>
      <c r="E10" s="108">
        <v>37</v>
      </c>
      <c r="F10" s="104"/>
      <c r="G10" s="116">
        <v>6</v>
      </c>
      <c r="H10" s="109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60</v>
      </c>
      <c r="C11" s="111">
        <v>23.7</v>
      </c>
      <c r="D11" s="108">
        <v>29</v>
      </c>
      <c r="E11" s="103">
        <v>38</v>
      </c>
      <c r="F11" s="110"/>
      <c r="G11" s="105">
        <v>7</v>
      </c>
      <c r="H11" s="109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81</v>
      </c>
      <c r="C12" s="101">
        <v>31</v>
      </c>
      <c r="D12" s="105">
        <v>29</v>
      </c>
      <c r="E12" s="112">
        <v>40</v>
      </c>
      <c r="F12" s="104"/>
      <c r="G12" s="105">
        <v>8</v>
      </c>
      <c r="H12" s="109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69</v>
      </c>
      <c r="C13" s="101">
        <v>26.8</v>
      </c>
      <c r="D13" s="105">
        <v>26</v>
      </c>
      <c r="E13" s="103">
        <v>42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67</v>
      </c>
      <c r="C14" s="101">
        <v>16.6</v>
      </c>
      <c r="D14" s="112">
        <v>25</v>
      </c>
      <c r="E14" s="103">
        <v>38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70</v>
      </c>
      <c r="C15" s="101">
        <v>20.4</v>
      </c>
      <c r="D15" s="105">
        <v>25</v>
      </c>
      <c r="E15" s="103">
        <v>42</v>
      </c>
      <c r="F15" s="110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62</v>
      </c>
      <c r="C16" s="101">
        <v>24.2</v>
      </c>
      <c r="D16" s="108">
        <v>25</v>
      </c>
      <c r="E16" s="112">
        <v>39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66</v>
      </c>
      <c r="C17" s="101">
        <v>16.9</v>
      </c>
      <c r="D17" s="105">
        <v>23</v>
      </c>
      <c r="E17" s="103">
        <v>35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192</v>
      </c>
      <c r="C18" s="101">
        <v>17.1</v>
      </c>
      <c r="D18" s="105">
        <v>20</v>
      </c>
      <c r="E18" s="103">
        <v>40</v>
      </c>
      <c r="F18" s="104" t="s">
        <v>219</v>
      </c>
      <c r="G18" s="110"/>
      <c r="H18" s="110"/>
      <c r="I18" s="106">
        <f t="shared" si="2"/>
        <v>350000</v>
      </c>
      <c r="J18" s="122">
        <f t="shared" si="1"/>
        <v>350000</v>
      </c>
      <c r="P18" s="114"/>
      <c r="Q18" s="156"/>
      <c r="R18" s="114"/>
      <c r="S18" s="115"/>
    </row>
    <row r="19" spans="2:19" s="107" customFormat="1" ht="18" customHeight="1">
      <c r="B19" s="100" t="s">
        <v>68</v>
      </c>
      <c r="C19" s="101">
        <v>19.9</v>
      </c>
      <c r="D19" s="105">
        <v>19</v>
      </c>
      <c r="E19" s="103">
        <v>43</v>
      </c>
      <c r="F19" s="104"/>
      <c r="G19" s="105"/>
      <c r="H19" s="105"/>
      <c r="I19" s="106">
        <f t="shared" si="2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79</v>
      </c>
      <c r="C20" s="101">
        <v>5.9</v>
      </c>
      <c r="D20" s="105"/>
      <c r="E20" s="112"/>
      <c r="F20" s="110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83</v>
      </c>
      <c r="C21" s="111">
        <v>7.5</v>
      </c>
      <c r="D21" s="108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77</v>
      </c>
      <c r="C22" s="101">
        <v>9.6</v>
      </c>
      <c r="D22" s="105"/>
      <c r="E22" s="112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17" t="s">
        <v>30</v>
      </c>
      <c r="C23" s="118">
        <v>10</v>
      </c>
      <c r="D23" s="105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17" t="s">
        <v>65</v>
      </c>
      <c r="C24" s="118">
        <v>11.2</v>
      </c>
      <c r="D24" s="110"/>
      <c r="E24" s="112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78</v>
      </c>
      <c r="C25" s="101">
        <v>16.2</v>
      </c>
      <c r="D25" s="110"/>
      <c r="E25" s="103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80</v>
      </c>
      <c r="C26" s="101">
        <v>19.1</v>
      </c>
      <c r="D26" s="105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82</v>
      </c>
      <c r="C27" s="101">
        <v>19.8</v>
      </c>
      <c r="D27" s="105"/>
      <c r="E27" s="112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7250000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U18" sqref="U18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218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212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29</v>
      </c>
      <c r="C5" s="111">
        <v>7.8</v>
      </c>
      <c r="D5" s="105">
        <v>70</v>
      </c>
      <c r="E5" s="193"/>
      <c r="F5" s="104"/>
      <c r="G5" s="105">
        <v>1</v>
      </c>
      <c r="H5" s="113">
        <v>10</v>
      </c>
      <c r="I5" s="106">
        <v>887500</v>
      </c>
      <c r="J5" s="122">
        <f aca="true" t="shared" si="0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192</v>
      </c>
      <c r="C6" s="101">
        <v>17.1</v>
      </c>
      <c r="D6" s="105">
        <v>70</v>
      </c>
      <c r="E6" s="194"/>
      <c r="F6" s="104"/>
      <c r="G6" s="105">
        <v>1</v>
      </c>
      <c r="H6" s="109">
        <v>10</v>
      </c>
      <c r="I6" s="106">
        <v>887500</v>
      </c>
      <c r="J6" s="122">
        <f t="shared" si="0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63</v>
      </c>
      <c r="C7" s="111">
        <v>23.6</v>
      </c>
      <c r="D7" s="108">
        <v>70</v>
      </c>
      <c r="E7" s="193"/>
      <c r="F7" s="110"/>
      <c r="G7" s="110">
        <v>1</v>
      </c>
      <c r="H7" s="109">
        <v>10</v>
      </c>
      <c r="I7" s="106">
        <v>887500</v>
      </c>
      <c r="J7" s="122">
        <f t="shared" si="0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61</v>
      </c>
      <c r="C8" s="101">
        <v>8.6</v>
      </c>
      <c r="D8" s="105">
        <v>74</v>
      </c>
      <c r="E8" s="194"/>
      <c r="F8" s="104"/>
      <c r="G8" s="105">
        <v>2</v>
      </c>
      <c r="H8" s="109">
        <v>5</v>
      </c>
      <c r="I8" s="106">
        <v>462500</v>
      </c>
      <c r="J8" s="122">
        <f t="shared" si="0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70</v>
      </c>
      <c r="C9" s="101">
        <v>20.4</v>
      </c>
      <c r="D9" s="105">
        <v>74</v>
      </c>
      <c r="E9" s="193"/>
      <c r="F9" s="110"/>
      <c r="G9" s="105">
        <v>2</v>
      </c>
      <c r="H9" s="109">
        <v>5</v>
      </c>
      <c r="I9" s="106">
        <v>462500</v>
      </c>
      <c r="J9" s="122">
        <f t="shared" si="0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60</v>
      </c>
      <c r="C10" s="111">
        <v>23.7</v>
      </c>
      <c r="D10" s="108">
        <v>74</v>
      </c>
      <c r="E10" s="194"/>
      <c r="F10" s="104"/>
      <c r="G10" s="116">
        <v>2</v>
      </c>
      <c r="H10" s="109">
        <v>5</v>
      </c>
      <c r="I10" s="106">
        <v>462500</v>
      </c>
      <c r="J10" s="122">
        <f t="shared" si="0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59</v>
      </c>
      <c r="C11" s="101">
        <v>21.4</v>
      </c>
      <c r="D11" s="108">
        <v>79</v>
      </c>
      <c r="E11" s="193"/>
      <c r="F11" s="110"/>
      <c r="G11" s="105">
        <v>3</v>
      </c>
      <c r="H11" s="109"/>
      <c r="I11" s="106">
        <f>J11</f>
        <v>50000</v>
      </c>
      <c r="J11" s="122">
        <f t="shared" si="0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62</v>
      </c>
      <c r="C12" s="101">
        <v>24.2</v>
      </c>
      <c r="D12" s="108">
        <v>79</v>
      </c>
      <c r="E12" s="194"/>
      <c r="F12" s="104"/>
      <c r="G12" s="105">
        <v>3</v>
      </c>
      <c r="H12" s="109"/>
      <c r="I12" s="106">
        <f>J12</f>
        <v>50000</v>
      </c>
      <c r="J12" s="122">
        <f t="shared" si="0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64</v>
      </c>
      <c r="C13" s="101">
        <v>14.2</v>
      </c>
      <c r="D13" s="102">
        <v>79.1</v>
      </c>
      <c r="E13" s="194"/>
      <c r="F13" s="104"/>
      <c r="G13" s="102">
        <v>4</v>
      </c>
      <c r="H13" s="105"/>
      <c r="I13" s="106">
        <f aca="true" t="shared" si="1" ref="I13:I28">J13</f>
        <v>50000</v>
      </c>
      <c r="J13" s="122">
        <f t="shared" si="0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68</v>
      </c>
      <c r="C14" s="101">
        <v>19.9</v>
      </c>
      <c r="D14" s="102">
        <v>79.1</v>
      </c>
      <c r="E14" s="194"/>
      <c r="F14" s="110"/>
      <c r="G14" s="105">
        <v>4</v>
      </c>
      <c r="H14" s="105"/>
      <c r="I14" s="106">
        <f t="shared" si="1"/>
        <v>50000</v>
      </c>
      <c r="J14" s="122">
        <f t="shared" si="0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58</v>
      </c>
      <c r="C15" s="101">
        <v>24.5</v>
      </c>
      <c r="D15" s="102">
        <v>79.1</v>
      </c>
      <c r="E15" s="194"/>
      <c r="F15" s="110"/>
      <c r="G15" s="105">
        <v>4</v>
      </c>
      <c r="H15" s="105"/>
      <c r="I15" s="106">
        <f t="shared" si="1"/>
        <v>50000</v>
      </c>
      <c r="J15" s="122">
        <f t="shared" si="0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66</v>
      </c>
      <c r="C16" s="101">
        <v>16.9</v>
      </c>
      <c r="D16" s="105">
        <v>83</v>
      </c>
      <c r="E16" s="194"/>
      <c r="F16" s="104"/>
      <c r="G16" s="105">
        <v>5</v>
      </c>
      <c r="H16" s="105"/>
      <c r="I16" s="106">
        <f t="shared" si="1"/>
        <v>50000</v>
      </c>
      <c r="J16" s="122">
        <f t="shared" si="0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81</v>
      </c>
      <c r="C17" s="101">
        <v>31</v>
      </c>
      <c r="D17" s="105">
        <v>83</v>
      </c>
      <c r="E17" s="194"/>
      <c r="F17" s="104"/>
      <c r="G17" s="110">
        <v>5</v>
      </c>
      <c r="H17" s="110"/>
      <c r="I17" s="106">
        <f t="shared" si="1"/>
        <v>50000</v>
      </c>
      <c r="J17" s="122">
        <f t="shared" si="0"/>
        <v>50000</v>
      </c>
      <c r="Q17" s="156"/>
    </row>
    <row r="18" spans="2:19" s="107" customFormat="1" ht="18" customHeight="1">
      <c r="B18" s="100" t="s">
        <v>67</v>
      </c>
      <c r="C18" s="101">
        <v>16.6</v>
      </c>
      <c r="D18" s="112">
        <v>94</v>
      </c>
      <c r="E18" s="193"/>
      <c r="F18" s="104"/>
      <c r="G18" s="110">
        <v>6</v>
      </c>
      <c r="H18" s="110"/>
      <c r="I18" s="106">
        <f t="shared" si="1"/>
        <v>50000</v>
      </c>
      <c r="J18" s="122">
        <f t="shared" si="0"/>
        <v>50000</v>
      </c>
      <c r="P18" s="114"/>
      <c r="Q18" s="156"/>
      <c r="R18" s="114"/>
      <c r="S18" s="115"/>
    </row>
    <row r="19" spans="2:19" s="107" customFormat="1" ht="18" customHeight="1">
      <c r="B19" s="100" t="s">
        <v>69</v>
      </c>
      <c r="C19" s="101">
        <v>26.8</v>
      </c>
      <c r="D19" s="105">
        <v>94</v>
      </c>
      <c r="E19" s="194"/>
      <c r="F19" s="104"/>
      <c r="G19" s="105">
        <v>6</v>
      </c>
      <c r="H19" s="105"/>
      <c r="I19" s="106">
        <f t="shared" si="1"/>
        <v>50000</v>
      </c>
      <c r="J19" s="122">
        <f t="shared" si="0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79</v>
      </c>
      <c r="C20" s="101">
        <v>5.9</v>
      </c>
      <c r="D20" s="105"/>
      <c r="E20" s="194"/>
      <c r="F20" s="110"/>
      <c r="G20" s="105"/>
      <c r="H20" s="105"/>
      <c r="I20" s="106">
        <f t="shared" si="1"/>
        <v>0</v>
      </c>
      <c r="J20" s="122">
        <f t="shared" si="0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83</v>
      </c>
      <c r="C21" s="111">
        <v>7.5</v>
      </c>
      <c r="D21" s="108"/>
      <c r="E21" s="193"/>
      <c r="F21" s="104"/>
      <c r="G21" s="110"/>
      <c r="H21" s="110"/>
      <c r="I21" s="106">
        <f t="shared" si="1"/>
        <v>0</v>
      </c>
      <c r="J21" s="122">
        <f t="shared" si="0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77</v>
      </c>
      <c r="C22" s="101">
        <v>9.6</v>
      </c>
      <c r="D22" s="105"/>
      <c r="E22" s="194"/>
      <c r="F22" s="104"/>
      <c r="G22" s="110"/>
      <c r="H22" s="110"/>
      <c r="I22" s="106">
        <f t="shared" si="1"/>
        <v>0</v>
      </c>
      <c r="J22" s="122">
        <f t="shared" si="0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17" t="s">
        <v>30</v>
      </c>
      <c r="C23" s="118">
        <v>10</v>
      </c>
      <c r="D23" s="105"/>
      <c r="E23" s="194"/>
      <c r="F23" s="104"/>
      <c r="G23" s="110"/>
      <c r="H23" s="110"/>
      <c r="I23" s="106">
        <f t="shared" si="1"/>
        <v>0</v>
      </c>
      <c r="J23" s="122">
        <f t="shared" si="0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17" t="s">
        <v>65</v>
      </c>
      <c r="C24" s="118">
        <v>11.2</v>
      </c>
      <c r="D24" s="110"/>
      <c r="E24" s="193"/>
      <c r="F24" s="110"/>
      <c r="G24" s="110"/>
      <c r="H24" s="110"/>
      <c r="I24" s="106">
        <f t="shared" si="1"/>
        <v>0</v>
      </c>
      <c r="J24" s="122">
        <f t="shared" si="0"/>
        <v>0</v>
      </c>
      <c r="M24" s="120"/>
      <c r="N24" s="121"/>
      <c r="O24" s="121"/>
    </row>
    <row r="25" spans="2:15" s="4" customFormat="1" ht="18" customHeight="1">
      <c r="B25" s="100" t="s">
        <v>78</v>
      </c>
      <c r="C25" s="101">
        <v>16.2</v>
      </c>
      <c r="D25" s="110"/>
      <c r="E25" s="195"/>
      <c r="F25" s="104"/>
      <c r="G25" s="110"/>
      <c r="H25" s="110"/>
      <c r="I25" s="106">
        <f t="shared" si="1"/>
        <v>0</v>
      </c>
      <c r="J25" s="122">
        <f t="shared" si="0"/>
        <v>0</v>
      </c>
      <c r="M25" s="120"/>
      <c r="N25" s="121"/>
      <c r="O25" s="121"/>
    </row>
    <row r="26" spans="2:15" s="4" customFormat="1" ht="18" customHeight="1">
      <c r="B26" s="100" t="s">
        <v>80</v>
      </c>
      <c r="C26" s="101">
        <v>19.1</v>
      </c>
      <c r="D26" s="105"/>
      <c r="E26" s="194"/>
      <c r="F26" s="104"/>
      <c r="G26" s="110"/>
      <c r="H26" s="110"/>
      <c r="I26" s="106">
        <f t="shared" si="1"/>
        <v>0</v>
      </c>
      <c r="J26" s="122">
        <f t="shared" si="0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82</v>
      </c>
      <c r="C27" s="101">
        <v>19.8</v>
      </c>
      <c r="D27" s="105"/>
      <c r="E27" s="193"/>
      <c r="F27" s="110"/>
      <c r="G27" s="105"/>
      <c r="H27" s="105"/>
      <c r="I27" s="106">
        <f t="shared" si="1"/>
        <v>0</v>
      </c>
      <c r="J27" s="122">
        <f t="shared" si="0"/>
        <v>0</v>
      </c>
      <c r="K27" s="110">
        <v>1</v>
      </c>
      <c r="L27" s="110" t="s">
        <v>20</v>
      </c>
      <c r="M27" s="110">
        <v>10</v>
      </c>
      <c r="N27" s="106" t="s">
        <v>20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8"/>
      <c r="E28" s="194"/>
      <c r="F28" s="116"/>
      <c r="G28" s="105"/>
      <c r="H28" s="105"/>
      <c r="I28" s="106">
        <f t="shared" si="1"/>
        <v>0</v>
      </c>
      <c r="J28" s="122">
        <f t="shared" si="0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4500000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R15" sqref="R15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210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208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82</v>
      </c>
      <c r="C5" s="101">
        <v>19.8</v>
      </c>
      <c r="D5" s="105">
        <v>33</v>
      </c>
      <c r="E5" s="112">
        <v>36</v>
      </c>
      <c r="F5" s="104"/>
      <c r="G5" s="105">
        <v>1</v>
      </c>
      <c r="H5" s="113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64</v>
      </c>
      <c r="C6" s="101">
        <v>14.2</v>
      </c>
      <c r="D6" s="102">
        <v>32</v>
      </c>
      <c r="E6" s="103">
        <v>27</v>
      </c>
      <c r="F6" s="104"/>
      <c r="G6" s="105">
        <v>2</v>
      </c>
      <c r="H6" s="109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58</v>
      </c>
      <c r="C7" s="101">
        <v>22.2</v>
      </c>
      <c r="D7" s="105">
        <v>32</v>
      </c>
      <c r="E7" s="108">
        <v>34</v>
      </c>
      <c r="F7" s="110"/>
      <c r="G7" s="110">
        <v>3</v>
      </c>
      <c r="H7" s="109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61</v>
      </c>
      <c r="C8" s="101">
        <v>8.7</v>
      </c>
      <c r="D8" s="105">
        <v>30</v>
      </c>
      <c r="E8" s="103">
        <v>33</v>
      </c>
      <c r="F8" s="104"/>
      <c r="G8" s="105">
        <v>4</v>
      </c>
      <c r="H8" s="109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17" t="s">
        <v>30</v>
      </c>
      <c r="C9" s="118">
        <v>10</v>
      </c>
      <c r="D9" s="105">
        <v>27</v>
      </c>
      <c r="E9" s="103">
        <v>33</v>
      </c>
      <c r="F9" s="110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79</v>
      </c>
      <c r="C10" s="101">
        <v>5.9</v>
      </c>
      <c r="D10" s="105">
        <v>26</v>
      </c>
      <c r="E10" s="112">
        <v>32</v>
      </c>
      <c r="F10" s="104"/>
      <c r="G10" s="116">
        <v>6</v>
      </c>
      <c r="H10" s="109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69</v>
      </c>
      <c r="C11" s="101">
        <v>26.8</v>
      </c>
      <c r="D11" s="105">
        <v>25</v>
      </c>
      <c r="E11" s="103">
        <v>36</v>
      </c>
      <c r="F11" s="110"/>
      <c r="G11" s="105">
        <v>7</v>
      </c>
      <c r="H11" s="109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81</v>
      </c>
      <c r="C12" s="101">
        <v>30</v>
      </c>
      <c r="D12" s="105">
        <v>25</v>
      </c>
      <c r="E12" s="112">
        <v>39</v>
      </c>
      <c r="F12" s="104"/>
      <c r="G12" s="105">
        <v>8</v>
      </c>
      <c r="H12" s="109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78</v>
      </c>
      <c r="C13" s="101">
        <v>16.2</v>
      </c>
      <c r="D13" s="110">
        <v>23</v>
      </c>
      <c r="E13" s="103">
        <v>38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192</v>
      </c>
      <c r="C14" s="101">
        <v>17.1</v>
      </c>
      <c r="D14" s="105">
        <v>23</v>
      </c>
      <c r="E14" s="103">
        <v>39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59</v>
      </c>
      <c r="C15" s="101">
        <v>21.4</v>
      </c>
      <c r="D15" s="108">
        <v>22</v>
      </c>
      <c r="E15" s="112">
        <v>40</v>
      </c>
      <c r="F15" s="110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67</v>
      </c>
      <c r="C16" s="101">
        <v>16.6</v>
      </c>
      <c r="D16" s="112">
        <v>20</v>
      </c>
      <c r="E16" s="103">
        <v>37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60</v>
      </c>
      <c r="C17" s="111">
        <v>23.7</v>
      </c>
      <c r="D17" s="108">
        <v>19</v>
      </c>
      <c r="E17" s="103">
        <v>40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70</v>
      </c>
      <c r="C18" s="101">
        <v>19.6</v>
      </c>
      <c r="D18" s="105">
        <v>18</v>
      </c>
      <c r="E18" s="103">
        <v>41</v>
      </c>
      <c r="F18" s="104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156"/>
      <c r="R18" s="114"/>
      <c r="S18" s="115"/>
    </row>
    <row r="19" spans="2:19" s="107" customFormat="1" ht="18" customHeight="1">
      <c r="B19" s="100" t="s">
        <v>80</v>
      </c>
      <c r="C19" s="101">
        <v>19.1</v>
      </c>
      <c r="D19" s="105">
        <v>16</v>
      </c>
      <c r="E19" s="103">
        <v>42</v>
      </c>
      <c r="F19" s="104"/>
      <c r="G19" s="105"/>
      <c r="H19" s="105"/>
      <c r="I19" s="106">
        <f t="shared" si="2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83</v>
      </c>
      <c r="C20" s="111">
        <v>7.5</v>
      </c>
      <c r="D20" s="108"/>
      <c r="E20" s="103"/>
      <c r="F20" s="110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29</v>
      </c>
      <c r="C21" s="111">
        <v>7.8</v>
      </c>
      <c r="D21" s="105"/>
      <c r="E21" s="112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77</v>
      </c>
      <c r="C22" s="101">
        <v>9.6</v>
      </c>
      <c r="D22" s="105"/>
      <c r="E22" s="112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17" t="s">
        <v>65</v>
      </c>
      <c r="C23" s="118">
        <v>11.2</v>
      </c>
      <c r="D23" s="110"/>
      <c r="E23" s="112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66</v>
      </c>
      <c r="C24" s="101">
        <v>16.9</v>
      </c>
      <c r="D24" s="105"/>
      <c r="E24" s="103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68</v>
      </c>
      <c r="C25" s="101">
        <v>19.9</v>
      </c>
      <c r="D25" s="105"/>
      <c r="E25" s="103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63</v>
      </c>
      <c r="C26" s="111">
        <v>23.6</v>
      </c>
      <c r="D26" s="108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62</v>
      </c>
      <c r="C27" s="101">
        <v>24.2</v>
      </c>
      <c r="D27" s="108"/>
      <c r="E27" s="112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5750000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W7" sqref="W7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209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207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89" t="s">
        <v>30</v>
      </c>
      <c r="C5" s="118">
        <v>10.6</v>
      </c>
      <c r="D5" s="105">
        <v>43</v>
      </c>
      <c r="E5" s="193"/>
      <c r="F5" s="104"/>
      <c r="G5" s="105">
        <v>1</v>
      </c>
      <c r="H5" s="113">
        <v>10</v>
      </c>
      <c r="I5" s="106">
        <v>1050000</v>
      </c>
      <c r="J5" s="122">
        <f aca="true" t="shared" si="0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90" t="s">
        <v>60</v>
      </c>
      <c r="C6" s="111">
        <v>23.7</v>
      </c>
      <c r="D6" s="108">
        <v>43</v>
      </c>
      <c r="E6" s="194"/>
      <c r="F6" s="104"/>
      <c r="G6" s="105">
        <v>1</v>
      </c>
      <c r="H6" s="109">
        <v>10</v>
      </c>
      <c r="I6" s="106">
        <v>1050000</v>
      </c>
      <c r="J6" s="122">
        <f t="shared" si="0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91" t="s">
        <v>67</v>
      </c>
      <c r="C7" s="101">
        <v>16.6</v>
      </c>
      <c r="D7" s="112">
        <v>40</v>
      </c>
      <c r="E7" s="193"/>
      <c r="F7" s="110"/>
      <c r="G7" s="110">
        <v>2</v>
      </c>
      <c r="H7" s="109">
        <v>6</v>
      </c>
      <c r="I7" s="106">
        <v>800000</v>
      </c>
      <c r="J7" s="122">
        <f t="shared" si="0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91" t="s">
        <v>82</v>
      </c>
      <c r="C8" s="101">
        <v>19.8</v>
      </c>
      <c r="D8" s="105">
        <v>40</v>
      </c>
      <c r="E8" s="194"/>
      <c r="F8" s="104"/>
      <c r="G8" s="105">
        <v>2</v>
      </c>
      <c r="H8" s="109">
        <v>6</v>
      </c>
      <c r="I8" s="106">
        <v>800000</v>
      </c>
      <c r="J8" s="122">
        <f t="shared" si="0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90" t="s">
        <v>59</v>
      </c>
      <c r="C9" s="101">
        <v>21.4</v>
      </c>
      <c r="D9" s="108">
        <v>38.1</v>
      </c>
      <c r="E9" s="193"/>
      <c r="F9" s="110"/>
      <c r="G9" s="105" t="s">
        <v>206</v>
      </c>
      <c r="H9" s="109">
        <v>4</v>
      </c>
      <c r="I9" s="106">
        <v>550000</v>
      </c>
      <c r="J9" s="122">
        <f t="shared" si="0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91" t="s">
        <v>77</v>
      </c>
      <c r="C10" s="101">
        <v>9.6</v>
      </c>
      <c r="D10" s="105">
        <v>38</v>
      </c>
      <c r="E10" s="194"/>
      <c r="F10" s="104"/>
      <c r="G10" s="105" t="s">
        <v>206</v>
      </c>
      <c r="H10" s="109">
        <v>4</v>
      </c>
      <c r="I10" s="106">
        <v>550000</v>
      </c>
      <c r="J10" s="122">
        <f t="shared" si="0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91" t="s">
        <v>81</v>
      </c>
      <c r="C11" s="101">
        <v>31</v>
      </c>
      <c r="D11" s="105">
        <v>38</v>
      </c>
      <c r="E11" s="193"/>
      <c r="F11" s="110"/>
      <c r="G11" s="105" t="s">
        <v>206</v>
      </c>
      <c r="H11" s="109">
        <v>4</v>
      </c>
      <c r="I11" s="106">
        <v>550000</v>
      </c>
      <c r="J11" s="122">
        <f t="shared" si="0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90" t="s">
        <v>58</v>
      </c>
      <c r="C12" s="101">
        <v>24.5</v>
      </c>
      <c r="D12" s="105">
        <v>37</v>
      </c>
      <c r="E12" s="194"/>
      <c r="F12" s="104"/>
      <c r="G12" s="105"/>
      <c r="H12" s="109"/>
      <c r="I12" s="106">
        <v>50000</v>
      </c>
      <c r="J12" s="122">
        <f t="shared" si="0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91" t="s">
        <v>79</v>
      </c>
      <c r="C13" s="101">
        <v>5.9</v>
      </c>
      <c r="D13" s="105">
        <v>36</v>
      </c>
      <c r="E13" s="194"/>
      <c r="F13" s="104"/>
      <c r="G13" s="102"/>
      <c r="H13" s="105"/>
      <c r="I13" s="106">
        <f aca="true" t="shared" si="1" ref="I13:I28">J13</f>
        <v>50000</v>
      </c>
      <c r="J13" s="122">
        <f t="shared" si="0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91" t="s">
        <v>192</v>
      </c>
      <c r="C14" s="101">
        <v>17.1</v>
      </c>
      <c r="D14" s="105">
        <v>36</v>
      </c>
      <c r="E14" s="194"/>
      <c r="F14" s="110"/>
      <c r="G14" s="105"/>
      <c r="H14" s="105"/>
      <c r="I14" s="106">
        <f t="shared" si="1"/>
        <v>50000</v>
      </c>
      <c r="J14" s="122">
        <f t="shared" si="0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90" t="s">
        <v>66</v>
      </c>
      <c r="C15" s="101">
        <v>16.9</v>
      </c>
      <c r="D15" s="105">
        <v>35</v>
      </c>
      <c r="E15" s="194"/>
      <c r="F15" s="110"/>
      <c r="G15" s="105"/>
      <c r="H15" s="105"/>
      <c r="I15" s="106">
        <f t="shared" si="1"/>
        <v>50000</v>
      </c>
      <c r="J15" s="122">
        <f t="shared" si="0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90" t="s">
        <v>68</v>
      </c>
      <c r="C16" s="101">
        <v>19.9</v>
      </c>
      <c r="D16" s="105">
        <v>35</v>
      </c>
      <c r="E16" s="194"/>
      <c r="F16" s="104"/>
      <c r="G16" s="105"/>
      <c r="H16" s="105"/>
      <c r="I16" s="106">
        <f t="shared" si="1"/>
        <v>50000</v>
      </c>
      <c r="J16" s="122">
        <f t="shared" si="0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92" t="s">
        <v>65</v>
      </c>
      <c r="C17" s="118">
        <v>11.2</v>
      </c>
      <c r="D17" s="110">
        <v>34</v>
      </c>
      <c r="E17" s="194"/>
      <c r="F17" s="104"/>
      <c r="G17" s="110"/>
      <c r="H17" s="110"/>
      <c r="I17" s="106">
        <f t="shared" si="1"/>
        <v>50000</v>
      </c>
      <c r="J17" s="122">
        <f t="shared" si="0"/>
        <v>50000</v>
      </c>
      <c r="Q17" s="156"/>
    </row>
    <row r="18" spans="2:19" s="107" customFormat="1" ht="18" customHeight="1">
      <c r="B18" s="191" t="s">
        <v>70</v>
      </c>
      <c r="C18" s="101">
        <v>20.4</v>
      </c>
      <c r="D18" s="105">
        <v>34</v>
      </c>
      <c r="E18" s="193"/>
      <c r="F18" s="104"/>
      <c r="G18" s="110"/>
      <c r="H18" s="110"/>
      <c r="I18" s="106">
        <f t="shared" si="1"/>
        <v>50000</v>
      </c>
      <c r="J18" s="122">
        <f t="shared" si="0"/>
        <v>50000</v>
      </c>
      <c r="P18" s="114"/>
      <c r="Q18" s="156"/>
      <c r="R18" s="114"/>
      <c r="S18" s="115"/>
    </row>
    <row r="19" spans="2:19" s="107" customFormat="1" ht="18" customHeight="1">
      <c r="B19" s="190" t="s">
        <v>78</v>
      </c>
      <c r="C19" s="101">
        <v>16.2</v>
      </c>
      <c r="D19" s="110">
        <v>31</v>
      </c>
      <c r="E19" s="194"/>
      <c r="F19" s="104"/>
      <c r="G19" s="105"/>
      <c r="H19" s="105"/>
      <c r="I19" s="106">
        <f t="shared" si="1"/>
        <v>50000</v>
      </c>
      <c r="J19" s="122">
        <f t="shared" si="0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91" t="s">
        <v>80</v>
      </c>
      <c r="C20" s="101">
        <v>19.1</v>
      </c>
      <c r="D20" s="105">
        <v>31</v>
      </c>
      <c r="E20" s="194"/>
      <c r="F20" s="110"/>
      <c r="G20" s="105"/>
      <c r="H20" s="105"/>
      <c r="I20" s="106">
        <f t="shared" si="1"/>
        <v>50000</v>
      </c>
      <c r="J20" s="122">
        <f t="shared" si="0"/>
        <v>50000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83</v>
      </c>
      <c r="C21" s="111">
        <v>7.5</v>
      </c>
      <c r="D21" s="108"/>
      <c r="E21" s="193"/>
      <c r="F21" s="104"/>
      <c r="G21" s="110"/>
      <c r="H21" s="110"/>
      <c r="I21" s="106">
        <f t="shared" si="1"/>
        <v>0</v>
      </c>
      <c r="J21" s="122">
        <f t="shared" si="0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29</v>
      </c>
      <c r="C22" s="111">
        <v>7.8</v>
      </c>
      <c r="D22" s="105"/>
      <c r="E22" s="194"/>
      <c r="F22" s="104"/>
      <c r="G22" s="110"/>
      <c r="H22" s="110"/>
      <c r="I22" s="106">
        <f t="shared" si="1"/>
        <v>0</v>
      </c>
      <c r="J22" s="122">
        <f t="shared" si="0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61</v>
      </c>
      <c r="C23" s="101">
        <v>8.6</v>
      </c>
      <c r="D23" s="105"/>
      <c r="E23" s="194"/>
      <c r="F23" s="104"/>
      <c r="G23" s="110"/>
      <c r="H23" s="110"/>
      <c r="I23" s="106">
        <f t="shared" si="1"/>
        <v>0</v>
      </c>
      <c r="J23" s="122">
        <f t="shared" si="0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64</v>
      </c>
      <c r="C24" s="101">
        <v>14.2</v>
      </c>
      <c r="D24" s="102"/>
      <c r="E24" s="193"/>
      <c r="F24" s="110"/>
      <c r="G24" s="110"/>
      <c r="H24" s="110"/>
      <c r="I24" s="106">
        <f t="shared" si="1"/>
        <v>0</v>
      </c>
      <c r="J24" s="122">
        <f t="shared" si="0"/>
        <v>0</v>
      </c>
      <c r="M24" s="120"/>
      <c r="N24" s="121"/>
      <c r="O24" s="121"/>
    </row>
    <row r="25" spans="2:15" s="4" customFormat="1" ht="18" customHeight="1">
      <c r="B25" s="100" t="s">
        <v>63</v>
      </c>
      <c r="C25" s="111">
        <v>23.6</v>
      </c>
      <c r="D25" s="108"/>
      <c r="E25" s="195"/>
      <c r="F25" s="104"/>
      <c r="G25" s="110"/>
      <c r="H25" s="110"/>
      <c r="I25" s="106">
        <f t="shared" si="1"/>
        <v>0</v>
      </c>
      <c r="J25" s="122">
        <f t="shared" si="0"/>
        <v>0</v>
      </c>
      <c r="M25" s="120"/>
      <c r="N25" s="121"/>
      <c r="O25" s="121"/>
    </row>
    <row r="26" spans="2:15" s="4" customFormat="1" ht="18" customHeight="1">
      <c r="B26" s="100" t="s">
        <v>62</v>
      </c>
      <c r="C26" s="101">
        <v>24.2</v>
      </c>
      <c r="D26" s="108"/>
      <c r="E26" s="194"/>
      <c r="F26" s="104"/>
      <c r="G26" s="110"/>
      <c r="H26" s="110"/>
      <c r="I26" s="106">
        <f t="shared" si="1"/>
        <v>0</v>
      </c>
      <c r="J26" s="122">
        <f t="shared" si="0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69</v>
      </c>
      <c r="C27" s="101">
        <v>26.8</v>
      </c>
      <c r="D27" s="105"/>
      <c r="E27" s="193"/>
      <c r="F27" s="110"/>
      <c r="G27" s="105"/>
      <c r="H27" s="105"/>
      <c r="I27" s="106">
        <f t="shared" si="1"/>
        <v>0</v>
      </c>
      <c r="J27" s="122">
        <f t="shared" si="0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8"/>
      <c r="E28" s="194"/>
      <c r="F28" s="116"/>
      <c r="G28" s="105"/>
      <c r="H28" s="105"/>
      <c r="I28" s="106">
        <f t="shared" si="1"/>
        <v>0</v>
      </c>
      <c r="J28" s="122">
        <f t="shared" si="0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5800000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S14" sqref="S14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199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203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17" t="s">
        <v>30</v>
      </c>
      <c r="C5" s="118">
        <v>10.6</v>
      </c>
      <c r="D5" s="105">
        <v>30</v>
      </c>
      <c r="E5" s="103">
        <v>35</v>
      </c>
      <c r="F5" s="104"/>
      <c r="G5" s="105">
        <v>1</v>
      </c>
      <c r="H5" s="113">
        <v>10</v>
      </c>
      <c r="I5" s="106">
        <f aca="true" t="shared" si="0" ref="I5:I11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64</v>
      </c>
      <c r="C6" s="101">
        <v>14.2</v>
      </c>
      <c r="D6" s="102">
        <v>29</v>
      </c>
      <c r="E6" s="103">
        <v>34</v>
      </c>
      <c r="F6" s="104"/>
      <c r="G6" s="105">
        <v>2</v>
      </c>
      <c r="H6" s="109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79</v>
      </c>
      <c r="C7" s="101">
        <v>5.9</v>
      </c>
      <c r="D7" s="105">
        <v>28</v>
      </c>
      <c r="E7" s="112">
        <v>28</v>
      </c>
      <c r="F7" s="104"/>
      <c r="G7" s="110">
        <v>3</v>
      </c>
      <c r="H7" s="109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59</v>
      </c>
      <c r="C8" s="101">
        <v>21.4</v>
      </c>
      <c r="D8" s="108">
        <v>25</v>
      </c>
      <c r="E8" s="112">
        <v>33</v>
      </c>
      <c r="F8" s="104"/>
      <c r="G8" s="105">
        <v>4</v>
      </c>
      <c r="H8" s="109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82</v>
      </c>
      <c r="C9" s="101">
        <v>19.8</v>
      </c>
      <c r="D9" s="105">
        <v>22</v>
      </c>
      <c r="E9" s="112">
        <v>36</v>
      </c>
      <c r="F9" s="104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192</v>
      </c>
      <c r="C10" s="101">
        <v>17.1</v>
      </c>
      <c r="D10" s="105">
        <v>19</v>
      </c>
      <c r="E10" s="103">
        <v>41</v>
      </c>
      <c r="F10" s="104">
        <v>3.76</v>
      </c>
      <c r="G10" s="116">
        <v>6</v>
      </c>
      <c r="H10" s="109">
        <v>3</v>
      </c>
      <c r="I10" s="106">
        <f t="shared" si="0"/>
        <v>750000</v>
      </c>
      <c r="J10" s="122">
        <f t="shared" si="1"/>
        <v>350000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67</v>
      </c>
      <c r="C11" s="101">
        <v>16.6</v>
      </c>
      <c r="D11" s="112">
        <v>15</v>
      </c>
      <c r="E11" s="103">
        <v>41</v>
      </c>
      <c r="F11" s="110"/>
      <c r="G11" s="105">
        <v>7</v>
      </c>
      <c r="H11" s="109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83</v>
      </c>
      <c r="C12" s="111">
        <v>7.5</v>
      </c>
      <c r="D12" s="108"/>
      <c r="E12" s="103"/>
      <c r="F12" s="104"/>
      <c r="G12" s="105"/>
      <c r="H12" s="109"/>
      <c r="I12" s="106"/>
      <c r="J12" s="122">
        <f t="shared" si="1"/>
        <v>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29</v>
      </c>
      <c r="C13" s="111">
        <v>7.8</v>
      </c>
      <c r="D13" s="105"/>
      <c r="E13" s="112"/>
      <c r="F13" s="110"/>
      <c r="G13" s="102"/>
      <c r="H13" s="105"/>
      <c r="I13" s="106">
        <f aca="true" t="shared" si="2" ref="I13:I28">J13</f>
        <v>0</v>
      </c>
      <c r="J13" s="122">
        <f t="shared" si="1"/>
        <v>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61</v>
      </c>
      <c r="C14" s="101">
        <v>8.6</v>
      </c>
      <c r="D14" s="105"/>
      <c r="E14" s="103"/>
      <c r="F14" s="104"/>
      <c r="G14" s="105"/>
      <c r="H14" s="105"/>
      <c r="I14" s="106">
        <f t="shared" si="2"/>
        <v>0</v>
      </c>
      <c r="J14" s="122">
        <f t="shared" si="1"/>
        <v>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77</v>
      </c>
      <c r="C15" s="101">
        <v>9.6</v>
      </c>
      <c r="D15" s="105"/>
      <c r="E15" s="112"/>
      <c r="F15" s="110"/>
      <c r="G15" s="105"/>
      <c r="H15" s="105"/>
      <c r="I15" s="106">
        <f t="shared" si="2"/>
        <v>0</v>
      </c>
      <c r="J15" s="122">
        <f t="shared" si="1"/>
        <v>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17" t="s">
        <v>65</v>
      </c>
      <c r="C16" s="118">
        <v>11.2</v>
      </c>
      <c r="D16" s="110"/>
      <c r="E16" s="112"/>
      <c r="F16" s="110"/>
      <c r="G16" s="105"/>
      <c r="H16" s="105"/>
      <c r="I16" s="106">
        <f t="shared" si="2"/>
        <v>0</v>
      </c>
      <c r="J16" s="122">
        <f t="shared" si="1"/>
        <v>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78</v>
      </c>
      <c r="C17" s="101">
        <v>16.2</v>
      </c>
      <c r="D17" s="110"/>
      <c r="E17" s="103"/>
      <c r="F17" s="104"/>
      <c r="G17" s="110"/>
      <c r="H17" s="110"/>
      <c r="I17" s="106">
        <f t="shared" si="2"/>
        <v>0</v>
      </c>
      <c r="J17" s="122">
        <f t="shared" si="1"/>
        <v>0</v>
      </c>
      <c r="Q17" s="156"/>
    </row>
    <row r="18" spans="2:19" s="107" customFormat="1" ht="18" customHeight="1">
      <c r="B18" s="100" t="s">
        <v>66</v>
      </c>
      <c r="C18" s="101">
        <v>16.9</v>
      </c>
      <c r="D18" s="105"/>
      <c r="E18" s="103"/>
      <c r="F18" s="110"/>
      <c r="G18" s="110"/>
      <c r="H18" s="110"/>
      <c r="I18" s="106">
        <f t="shared" si="2"/>
        <v>0</v>
      </c>
      <c r="J18" s="122">
        <f t="shared" si="1"/>
        <v>0</v>
      </c>
      <c r="P18" s="114"/>
      <c r="Q18" s="156"/>
      <c r="R18" s="114"/>
      <c r="S18" s="115"/>
    </row>
    <row r="19" spans="2:19" s="107" customFormat="1" ht="18" customHeight="1">
      <c r="B19" s="100" t="s">
        <v>80</v>
      </c>
      <c r="C19" s="101">
        <v>19.1</v>
      </c>
      <c r="D19" s="105"/>
      <c r="E19" s="103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68</v>
      </c>
      <c r="C20" s="101">
        <v>19.9</v>
      </c>
      <c r="D20" s="105"/>
      <c r="E20" s="103"/>
      <c r="F20" s="104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70</v>
      </c>
      <c r="C21" s="101">
        <v>20.4</v>
      </c>
      <c r="D21" s="105"/>
      <c r="E21" s="103"/>
      <c r="F21" s="110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63</v>
      </c>
      <c r="C22" s="111">
        <v>23.6</v>
      </c>
      <c r="D22" s="108"/>
      <c r="E22" s="103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60</v>
      </c>
      <c r="C23" s="111">
        <v>23.7</v>
      </c>
      <c r="D23" s="108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62</v>
      </c>
      <c r="C24" s="101">
        <v>24.2</v>
      </c>
      <c r="D24" s="108"/>
      <c r="E24" s="112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58</v>
      </c>
      <c r="C25" s="101">
        <v>24.5</v>
      </c>
      <c r="D25" s="105"/>
      <c r="E25" s="108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69</v>
      </c>
      <c r="C26" s="101">
        <v>26.8</v>
      </c>
      <c r="D26" s="105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81</v>
      </c>
      <c r="C27" s="101">
        <v>31</v>
      </c>
      <c r="D27" s="105"/>
      <c r="E27" s="112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5450000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C2" sqref="C2:O2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198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200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29</v>
      </c>
      <c r="C5" s="111">
        <v>7.8</v>
      </c>
      <c r="D5" s="105">
        <v>35</v>
      </c>
      <c r="E5" s="112">
        <v>31</v>
      </c>
      <c r="F5" s="110"/>
      <c r="G5" s="105">
        <v>1</v>
      </c>
      <c r="H5" s="113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79</v>
      </c>
      <c r="C6" s="101">
        <v>5.9</v>
      </c>
      <c r="D6" s="105">
        <v>33</v>
      </c>
      <c r="E6" s="112">
        <v>26</v>
      </c>
      <c r="F6" s="104"/>
      <c r="G6" s="105">
        <v>2</v>
      </c>
      <c r="H6" s="109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192</v>
      </c>
      <c r="C7" s="101">
        <v>17.1</v>
      </c>
      <c r="D7" s="105">
        <v>30</v>
      </c>
      <c r="E7" s="103">
        <v>35</v>
      </c>
      <c r="F7" s="104"/>
      <c r="G7" s="110">
        <v>3</v>
      </c>
      <c r="H7" s="109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59</v>
      </c>
      <c r="C8" s="101">
        <v>21.4</v>
      </c>
      <c r="D8" s="108">
        <v>30</v>
      </c>
      <c r="E8" s="112">
        <v>37</v>
      </c>
      <c r="F8" s="104"/>
      <c r="G8" s="105">
        <v>4</v>
      </c>
      <c r="H8" s="109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17" t="s">
        <v>65</v>
      </c>
      <c r="C9" s="118">
        <v>11.2</v>
      </c>
      <c r="D9" s="110">
        <v>27</v>
      </c>
      <c r="E9" s="112">
        <v>36</v>
      </c>
      <c r="F9" s="110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80</v>
      </c>
      <c r="C10" s="101">
        <v>19.1</v>
      </c>
      <c r="D10" s="105">
        <v>26</v>
      </c>
      <c r="E10" s="103">
        <v>38</v>
      </c>
      <c r="F10" s="104">
        <v>3.91</v>
      </c>
      <c r="G10" s="116">
        <v>6</v>
      </c>
      <c r="H10" s="109">
        <v>3</v>
      </c>
      <c r="I10" s="106">
        <f t="shared" si="0"/>
        <v>750000</v>
      </c>
      <c r="J10" s="122">
        <f t="shared" si="1"/>
        <v>350000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69</v>
      </c>
      <c r="C11" s="101">
        <v>26.8</v>
      </c>
      <c r="D11" s="105">
        <v>23</v>
      </c>
      <c r="E11" s="103">
        <v>40</v>
      </c>
      <c r="F11" s="104"/>
      <c r="G11" s="105">
        <v>7</v>
      </c>
      <c r="H11" s="109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61</v>
      </c>
      <c r="C12" s="101">
        <v>8.6</v>
      </c>
      <c r="D12" s="105">
        <v>22</v>
      </c>
      <c r="E12" s="103">
        <v>39</v>
      </c>
      <c r="F12" s="104"/>
      <c r="G12" s="105">
        <v>8</v>
      </c>
      <c r="H12" s="109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83</v>
      </c>
      <c r="C13" s="111">
        <v>7.5</v>
      </c>
      <c r="D13" s="108"/>
      <c r="E13" s="103"/>
      <c r="F13" s="104"/>
      <c r="G13" s="102"/>
      <c r="H13" s="105"/>
      <c r="I13" s="106">
        <f aca="true" t="shared" si="2" ref="I13:I28">J13</f>
        <v>0</v>
      </c>
      <c r="J13" s="122">
        <f t="shared" si="1"/>
        <v>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77</v>
      </c>
      <c r="C14" s="101">
        <v>9.6</v>
      </c>
      <c r="D14" s="105"/>
      <c r="E14" s="112"/>
      <c r="F14" s="110"/>
      <c r="G14" s="105"/>
      <c r="H14" s="105"/>
      <c r="I14" s="106">
        <f t="shared" si="2"/>
        <v>0</v>
      </c>
      <c r="J14" s="122">
        <f t="shared" si="1"/>
        <v>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17" t="s">
        <v>30</v>
      </c>
      <c r="C15" s="118">
        <v>10.6</v>
      </c>
      <c r="D15" s="105"/>
      <c r="E15" s="103"/>
      <c r="F15" s="104"/>
      <c r="G15" s="105"/>
      <c r="H15" s="105"/>
      <c r="I15" s="106">
        <f t="shared" si="2"/>
        <v>0</v>
      </c>
      <c r="J15" s="122">
        <f t="shared" si="1"/>
        <v>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64</v>
      </c>
      <c r="C16" s="101">
        <v>14.2</v>
      </c>
      <c r="D16" s="102"/>
      <c r="E16" s="103"/>
      <c r="F16" s="104"/>
      <c r="G16" s="105"/>
      <c r="H16" s="105"/>
      <c r="I16" s="106">
        <f t="shared" si="2"/>
        <v>0</v>
      </c>
      <c r="J16" s="122">
        <f t="shared" si="1"/>
        <v>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78</v>
      </c>
      <c r="C17" s="101">
        <v>16.2</v>
      </c>
      <c r="D17" s="110"/>
      <c r="E17" s="103"/>
      <c r="F17" s="104"/>
      <c r="G17" s="110"/>
      <c r="H17" s="110"/>
      <c r="I17" s="106">
        <f t="shared" si="2"/>
        <v>0</v>
      </c>
      <c r="J17" s="122">
        <f t="shared" si="1"/>
        <v>0</v>
      </c>
      <c r="Q17" s="156"/>
    </row>
    <row r="18" spans="2:19" s="107" customFormat="1" ht="18" customHeight="1">
      <c r="B18" s="100" t="s">
        <v>66</v>
      </c>
      <c r="C18" s="101">
        <v>16.9</v>
      </c>
      <c r="D18" s="105"/>
      <c r="E18" s="103"/>
      <c r="F18" s="110"/>
      <c r="G18" s="110"/>
      <c r="H18" s="110"/>
      <c r="I18" s="106">
        <f t="shared" si="2"/>
        <v>0</v>
      </c>
      <c r="J18" s="122">
        <f t="shared" si="1"/>
        <v>0</v>
      </c>
      <c r="P18" s="114"/>
      <c r="Q18" s="156"/>
      <c r="R18" s="114"/>
      <c r="S18" s="115"/>
    </row>
    <row r="19" spans="2:19" s="107" customFormat="1" ht="18" customHeight="1">
      <c r="B19" s="100" t="s">
        <v>67</v>
      </c>
      <c r="C19" s="101">
        <v>17.8</v>
      </c>
      <c r="D19" s="112"/>
      <c r="E19" s="103"/>
      <c r="F19" s="110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82</v>
      </c>
      <c r="C20" s="101">
        <v>19.8</v>
      </c>
      <c r="D20" s="105"/>
      <c r="E20" s="112"/>
      <c r="F20" s="104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68</v>
      </c>
      <c r="C21" s="101">
        <v>19.9</v>
      </c>
      <c r="D21" s="105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70</v>
      </c>
      <c r="C22" s="101">
        <v>20.4</v>
      </c>
      <c r="D22" s="105"/>
      <c r="E22" s="103"/>
      <c r="F22" s="110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63</v>
      </c>
      <c r="C23" s="111">
        <v>23.6</v>
      </c>
      <c r="D23" s="108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60</v>
      </c>
      <c r="C24" s="111">
        <v>23.7</v>
      </c>
      <c r="D24" s="108"/>
      <c r="E24" s="103"/>
      <c r="F24" s="104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62</v>
      </c>
      <c r="C25" s="101">
        <v>24.2</v>
      </c>
      <c r="D25" s="108"/>
      <c r="E25" s="112"/>
      <c r="F25" s="110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58</v>
      </c>
      <c r="C26" s="101">
        <v>24.5</v>
      </c>
      <c r="D26" s="105"/>
      <c r="E26" s="108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81</v>
      </c>
      <c r="C27" s="101">
        <v>31</v>
      </c>
      <c r="D27" s="105"/>
      <c r="E27" s="112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5700000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"/>
  <sheetViews>
    <sheetView showZeros="0" zoomScale="85" zoomScaleNormal="85" zoomScalePageLayoutView="0" workbookViewId="0" topLeftCell="B1">
      <selection activeCell="E22" sqref="E22"/>
    </sheetView>
  </sheetViews>
  <sheetFormatPr defaultColWidth="9.140625" defaultRowHeight="12.75"/>
  <cols>
    <col min="1" max="1" width="4.00390625" style="29" hidden="1" customWidth="1"/>
    <col min="2" max="2" width="20.28125" style="29" bestFit="1" customWidth="1"/>
    <col min="3" max="3" width="14.7109375" style="36" customWidth="1"/>
    <col min="4" max="4" width="10.57421875" style="37" customWidth="1"/>
    <col min="5" max="5" width="10.7109375" style="37" customWidth="1"/>
    <col min="6" max="6" width="10.28125" style="37" customWidth="1"/>
    <col min="7" max="7" width="10.421875" style="37" customWidth="1"/>
    <col min="8" max="8" width="9.57421875" style="37" customWidth="1"/>
    <col min="9" max="9" width="9.421875" style="37" customWidth="1"/>
    <col min="10" max="20" width="9.8515625" style="37" bestFit="1" customWidth="1"/>
    <col min="21" max="21" width="10.28125" style="37" customWidth="1"/>
    <col min="22" max="31" width="9.8515625" style="37" bestFit="1" customWidth="1"/>
    <col min="32" max="36" width="9.8515625" style="29" bestFit="1" customWidth="1"/>
    <col min="37" max="39" width="4.7109375" style="29" customWidth="1"/>
    <col min="40" max="16384" width="9.140625" style="29" customWidth="1"/>
  </cols>
  <sheetData>
    <row r="1" spans="3:31" ht="24.75" customHeight="1">
      <c r="C1" s="42" t="s">
        <v>120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2:36" s="30" customFormat="1" ht="66.75" customHeight="1">
      <c r="B2" s="31"/>
      <c r="C2" s="38" t="s">
        <v>28</v>
      </c>
      <c r="D2" s="32" t="s">
        <v>117</v>
      </c>
      <c r="E2" s="32" t="s">
        <v>115</v>
      </c>
      <c r="F2" s="32" t="s">
        <v>114</v>
      </c>
      <c r="G2" s="32" t="s">
        <v>113</v>
      </c>
      <c r="H2" s="32" t="s">
        <v>112</v>
      </c>
      <c r="I2" s="32" t="s">
        <v>111</v>
      </c>
      <c r="J2" s="32" t="s">
        <v>110</v>
      </c>
      <c r="K2" s="32" t="s">
        <v>109</v>
      </c>
      <c r="L2" s="32" t="s">
        <v>108</v>
      </c>
      <c r="M2" s="32" t="s">
        <v>107</v>
      </c>
      <c r="N2" s="32" t="s">
        <v>106</v>
      </c>
      <c r="O2" s="32" t="s">
        <v>105</v>
      </c>
      <c r="P2" s="32" t="s">
        <v>104</v>
      </c>
      <c r="Q2" s="32" t="s">
        <v>103</v>
      </c>
      <c r="R2" s="32" t="s">
        <v>102</v>
      </c>
      <c r="S2" s="32" t="s">
        <v>101</v>
      </c>
      <c r="T2" s="32" t="s">
        <v>100</v>
      </c>
      <c r="U2" s="32" t="s">
        <v>99</v>
      </c>
      <c r="V2" s="32" t="s">
        <v>98</v>
      </c>
      <c r="W2" s="32" t="s">
        <v>97</v>
      </c>
      <c r="X2" s="32" t="s">
        <v>178</v>
      </c>
      <c r="Y2" s="32" t="s">
        <v>96</v>
      </c>
      <c r="Z2" s="32" t="s">
        <v>95</v>
      </c>
      <c r="AA2" s="32" t="s">
        <v>94</v>
      </c>
      <c r="AB2" s="32" t="s">
        <v>93</v>
      </c>
      <c r="AC2" s="32" t="s">
        <v>92</v>
      </c>
      <c r="AD2" s="32" t="s">
        <v>91</v>
      </c>
      <c r="AE2" s="32" t="s">
        <v>90</v>
      </c>
      <c r="AF2" s="32" t="s">
        <v>89</v>
      </c>
      <c r="AG2" s="32" t="s">
        <v>88</v>
      </c>
      <c r="AH2" s="32" t="s">
        <v>87</v>
      </c>
      <c r="AI2" s="32" t="s">
        <v>86</v>
      </c>
      <c r="AJ2" s="32" t="s">
        <v>85</v>
      </c>
    </row>
    <row r="3" spans="2:36" ht="15">
      <c r="B3" s="83" t="s">
        <v>29</v>
      </c>
      <c r="C3" s="137">
        <f>SUM(D3:AJ3)</f>
        <v>25305000</v>
      </c>
      <c r="D3" s="165">
        <v>2000000</v>
      </c>
      <c r="E3" s="165">
        <v>3050000</v>
      </c>
      <c r="F3" s="165">
        <v>1100000</v>
      </c>
      <c r="G3" s="165">
        <v>550000</v>
      </c>
      <c r="H3" s="165">
        <v>1350000</v>
      </c>
      <c r="I3" s="165">
        <v>350000</v>
      </c>
      <c r="J3" s="165">
        <v>1050000</v>
      </c>
      <c r="K3" s="165">
        <v>450000</v>
      </c>
      <c r="L3" s="165">
        <v>1550000</v>
      </c>
      <c r="M3" s="165">
        <v>887500</v>
      </c>
      <c r="N3" s="165"/>
      <c r="O3" s="165"/>
      <c r="P3" s="165"/>
      <c r="Q3" s="165">
        <v>1300000</v>
      </c>
      <c r="R3" s="165">
        <v>1415000</v>
      </c>
      <c r="S3" s="165">
        <v>350000</v>
      </c>
      <c r="T3" s="165">
        <v>550000</v>
      </c>
      <c r="U3" s="165">
        <v>462500</v>
      </c>
      <c r="V3" s="165"/>
      <c r="W3" s="165">
        <v>800000</v>
      </c>
      <c r="X3" s="165">
        <v>1050000</v>
      </c>
      <c r="Y3" s="165">
        <v>1050000</v>
      </c>
      <c r="Z3" s="165">
        <v>300000</v>
      </c>
      <c r="AA3" s="165">
        <v>450000</v>
      </c>
      <c r="AB3" s="165">
        <v>650000</v>
      </c>
      <c r="AC3" s="165">
        <v>440000</v>
      </c>
      <c r="AD3" s="165">
        <v>50000</v>
      </c>
      <c r="AE3" s="165">
        <v>1300000</v>
      </c>
      <c r="AF3" s="165"/>
      <c r="AG3" s="165"/>
      <c r="AH3" s="165">
        <v>1050000</v>
      </c>
      <c r="AI3" s="165">
        <v>950000</v>
      </c>
      <c r="AJ3" s="165">
        <v>800000</v>
      </c>
    </row>
    <row r="4" spans="1:36" s="33" customFormat="1" ht="15">
      <c r="A4" s="29"/>
      <c r="B4" s="85" t="s">
        <v>30</v>
      </c>
      <c r="C4" s="137">
        <f>SUM(D4:AJ4)</f>
        <v>24140000</v>
      </c>
      <c r="D4" s="165">
        <v>1200000</v>
      </c>
      <c r="E4" s="166">
        <v>3750000</v>
      </c>
      <c r="F4" s="166">
        <v>1300000</v>
      </c>
      <c r="G4" s="166">
        <v>1100000</v>
      </c>
      <c r="H4" s="166">
        <v>1300000</v>
      </c>
      <c r="I4" s="166">
        <v>1050000</v>
      </c>
      <c r="J4" s="166">
        <v>1300000</v>
      </c>
      <c r="K4" s="166">
        <v>1300000</v>
      </c>
      <c r="L4" s="166"/>
      <c r="M4" s="166"/>
      <c r="N4" s="166">
        <v>550000</v>
      </c>
      <c r="O4" s="166">
        <v>1050000</v>
      </c>
      <c r="P4" s="166">
        <v>1300000</v>
      </c>
      <c r="Q4" s="166"/>
      <c r="R4" s="166"/>
      <c r="S4" s="166"/>
      <c r="T4" s="166">
        <v>450000</v>
      </c>
      <c r="U4" s="166">
        <v>50000</v>
      </c>
      <c r="V4" s="166"/>
      <c r="W4" s="166">
        <v>250000</v>
      </c>
      <c r="X4" s="166">
        <v>450000</v>
      </c>
      <c r="Y4" s="166">
        <v>50000</v>
      </c>
      <c r="Z4" s="166">
        <v>550000</v>
      </c>
      <c r="AA4" s="166">
        <v>550000</v>
      </c>
      <c r="AB4" s="166">
        <v>50000</v>
      </c>
      <c r="AC4" s="166">
        <v>1740000</v>
      </c>
      <c r="AD4" s="166">
        <v>650000</v>
      </c>
      <c r="AE4" s="166">
        <v>1050000</v>
      </c>
      <c r="AF4" s="166">
        <v>1050000</v>
      </c>
      <c r="AG4" s="166"/>
      <c r="AH4" s="166"/>
      <c r="AI4" s="166">
        <v>1300000</v>
      </c>
      <c r="AJ4" s="166">
        <v>750000</v>
      </c>
    </row>
    <row r="5" spans="2:36" ht="15">
      <c r="B5" s="83" t="s">
        <v>59</v>
      </c>
      <c r="C5" s="137">
        <f>SUM(D5:AJ5)</f>
        <v>15775000</v>
      </c>
      <c r="D5" s="166"/>
      <c r="E5" s="166">
        <v>2050000</v>
      </c>
      <c r="F5" s="166">
        <v>50000</v>
      </c>
      <c r="G5" s="166">
        <v>1050000</v>
      </c>
      <c r="H5" s="166">
        <v>450000</v>
      </c>
      <c r="I5" s="166">
        <v>250000</v>
      </c>
      <c r="J5" s="166">
        <v>250000</v>
      </c>
      <c r="K5" s="166">
        <v>1050000</v>
      </c>
      <c r="L5" s="166">
        <v>800000</v>
      </c>
      <c r="M5" s="166">
        <v>50000</v>
      </c>
      <c r="N5" s="166">
        <v>50000</v>
      </c>
      <c r="O5" s="166">
        <v>550000</v>
      </c>
      <c r="P5" s="166">
        <v>650000</v>
      </c>
      <c r="Q5" s="166">
        <v>650000</v>
      </c>
      <c r="R5" s="166"/>
      <c r="S5" s="166">
        <v>250000</v>
      </c>
      <c r="T5" s="166">
        <v>50000</v>
      </c>
      <c r="U5" s="166">
        <v>50000</v>
      </c>
      <c r="V5" s="166">
        <v>1350000</v>
      </c>
      <c r="W5" s="166">
        <v>450000</v>
      </c>
      <c r="X5" s="166">
        <v>50000</v>
      </c>
      <c r="Y5" s="166">
        <v>50000</v>
      </c>
      <c r="Z5" s="166">
        <v>50000</v>
      </c>
      <c r="AA5" s="166">
        <v>1100000</v>
      </c>
      <c r="AB5" s="166">
        <v>50000</v>
      </c>
      <c r="AC5" s="166">
        <v>700000</v>
      </c>
      <c r="AD5" s="166">
        <v>300000</v>
      </c>
      <c r="AE5" s="166">
        <v>350000</v>
      </c>
      <c r="AF5" s="166">
        <v>800000</v>
      </c>
      <c r="AG5" s="166">
        <v>1025000</v>
      </c>
      <c r="AH5" s="166">
        <v>50000</v>
      </c>
      <c r="AI5" s="166">
        <v>550000</v>
      </c>
      <c r="AJ5" s="166">
        <v>650000</v>
      </c>
    </row>
    <row r="6" spans="2:36" ht="15">
      <c r="B6" s="83" t="s">
        <v>127</v>
      </c>
      <c r="C6" s="137">
        <f>SUM(D6:AJ6)</f>
        <v>14997500</v>
      </c>
      <c r="D6" s="166"/>
      <c r="E6" s="166">
        <v>850000</v>
      </c>
      <c r="F6" s="166">
        <v>50000</v>
      </c>
      <c r="G6" s="166">
        <v>50000</v>
      </c>
      <c r="H6" s="166">
        <v>650000</v>
      </c>
      <c r="I6" s="166">
        <v>450000</v>
      </c>
      <c r="J6" s="166">
        <v>650000</v>
      </c>
      <c r="K6" s="166">
        <v>50000</v>
      </c>
      <c r="L6" s="166"/>
      <c r="M6" s="166"/>
      <c r="N6" s="166">
        <v>450000</v>
      </c>
      <c r="O6" s="166">
        <v>50000</v>
      </c>
      <c r="P6" s="166">
        <v>800000</v>
      </c>
      <c r="Q6" s="166">
        <v>1050000</v>
      </c>
      <c r="R6" s="166">
        <v>1675000</v>
      </c>
      <c r="S6" s="166">
        <v>650000</v>
      </c>
      <c r="T6" s="166"/>
      <c r="U6" s="166">
        <v>887500</v>
      </c>
      <c r="V6" s="166">
        <v>830000</v>
      </c>
      <c r="W6" s="166">
        <v>1350000</v>
      </c>
      <c r="X6" s="166">
        <v>800000</v>
      </c>
      <c r="Y6" s="166">
        <v>850000</v>
      </c>
      <c r="Z6" s="166">
        <v>50000</v>
      </c>
      <c r="AA6" s="166">
        <v>50000</v>
      </c>
      <c r="AB6" s="166">
        <v>50000</v>
      </c>
      <c r="AC6" s="166">
        <v>830000</v>
      </c>
      <c r="AD6" s="166">
        <v>50000</v>
      </c>
      <c r="AE6" s="166">
        <v>50000</v>
      </c>
      <c r="AF6" s="166">
        <v>50000</v>
      </c>
      <c r="AG6" s="166">
        <v>1675000</v>
      </c>
      <c r="AH6" s="166">
        <v>50000</v>
      </c>
      <c r="AI6" s="166"/>
      <c r="AJ6" s="166"/>
    </row>
    <row r="7" spans="2:36" s="35" customFormat="1" ht="15">
      <c r="B7" s="83" t="s">
        <v>124</v>
      </c>
      <c r="C7" s="137">
        <f>SUM(D7:AJ7)</f>
        <v>14537500</v>
      </c>
      <c r="D7" s="166"/>
      <c r="E7" s="166">
        <v>1050000</v>
      </c>
      <c r="F7" s="166">
        <v>50000</v>
      </c>
      <c r="G7" s="166"/>
      <c r="H7" s="166"/>
      <c r="I7" s="166">
        <v>50000</v>
      </c>
      <c r="J7" s="166">
        <v>50000</v>
      </c>
      <c r="K7" s="166">
        <v>50000</v>
      </c>
      <c r="L7" s="166"/>
      <c r="M7" s="166"/>
      <c r="N7" s="166">
        <v>1300000</v>
      </c>
      <c r="O7" s="166">
        <v>800000</v>
      </c>
      <c r="P7" s="166">
        <v>550000</v>
      </c>
      <c r="Q7" s="166"/>
      <c r="R7" s="166">
        <v>1350000</v>
      </c>
      <c r="S7" s="166">
        <v>450000</v>
      </c>
      <c r="T7" s="166">
        <v>800000</v>
      </c>
      <c r="U7" s="166">
        <v>887500</v>
      </c>
      <c r="V7" s="166">
        <v>1675000</v>
      </c>
      <c r="W7" s="166"/>
      <c r="X7" s="166">
        <v>550000</v>
      </c>
      <c r="Y7" s="166"/>
      <c r="Z7" s="166"/>
      <c r="AA7" s="166">
        <v>350000</v>
      </c>
      <c r="AB7" s="166">
        <v>1250000</v>
      </c>
      <c r="AC7" s="166">
        <v>1675000</v>
      </c>
      <c r="AD7" s="166">
        <v>1600000</v>
      </c>
      <c r="AE7" s="166"/>
      <c r="AF7" s="166">
        <v>50000</v>
      </c>
      <c r="AG7" s="166"/>
      <c r="AH7" s="166"/>
      <c r="AI7" s="166"/>
      <c r="AJ7" s="166"/>
    </row>
    <row r="8" spans="2:36" ht="15">
      <c r="B8" s="85" t="s">
        <v>121</v>
      </c>
      <c r="C8" s="137">
        <f>SUM(D8:AJ8)</f>
        <v>12862500</v>
      </c>
      <c r="D8" s="166"/>
      <c r="E8" s="166">
        <v>2150000</v>
      </c>
      <c r="F8" s="166">
        <v>650000</v>
      </c>
      <c r="G8" s="166">
        <v>450000</v>
      </c>
      <c r="H8" s="166"/>
      <c r="I8" s="166">
        <v>50000</v>
      </c>
      <c r="J8" s="166">
        <v>450000</v>
      </c>
      <c r="K8" s="166">
        <v>650000</v>
      </c>
      <c r="L8" s="166">
        <v>1600000</v>
      </c>
      <c r="M8" s="166">
        <v>462500</v>
      </c>
      <c r="N8" s="166">
        <v>650000</v>
      </c>
      <c r="O8" s="166"/>
      <c r="P8" s="166"/>
      <c r="Q8" s="166">
        <v>250000</v>
      </c>
      <c r="R8" s="166">
        <v>700000</v>
      </c>
      <c r="S8" s="166"/>
      <c r="T8" s="166"/>
      <c r="U8" s="166"/>
      <c r="V8" s="166">
        <v>50000</v>
      </c>
      <c r="W8" s="166">
        <v>350000</v>
      </c>
      <c r="X8" s="166">
        <v>50000</v>
      </c>
      <c r="Y8" s="166">
        <v>350000</v>
      </c>
      <c r="Z8" s="166">
        <v>1050000</v>
      </c>
      <c r="AA8" s="166">
        <v>50000</v>
      </c>
      <c r="AB8" s="166">
        <v>50000</v>
      </c>
      <c r="AC8" s="166">
        <v>50000</v>
      </c>
      <c r="AD8" s="166">
        <v>50000</v>
      </c>
      <c r="AE8" s="166">
        <v>250000</v>
      </c>
      <c r="AF8" s="166">
        <v>350000</v>
      </c>
      <c r="AG8" s="166"/>
      <c r="AH8" s="166">
        <v>1100000</v>
      </c>
      <c r="AI8" s="166"/>
      <c r="AJ8" s="166">
        <v>1050000</v>
      </c>
    </row>
    <row r="9" spans="2:36" s="35" customFormat="1" ht="15">
      <c r="B9" s="85" t="s">
        <v>122</v>
      </c>
      <c r="C9" s="137">
        <f>SUM(D9:AJ9)</f>
        <v>10302500</v>
      </c>
      <c r="D9" s="166">
        <v>800000</v>
      </c>
      <c r="E9" s="166">
        <v>50000</v>
      </c>
      <c r="F9" s="166">
        <v>1050000</v>
      </c>
      <c r="G9" s="166">
        <v>1300000</v>
      </c>
      <c r="H9" s="166">
        <v>350000</v>
      </c>
      <c r="I9" s="166">
        <v>550000</v>
      </c>
      <c r="J9" s="166">
        <v>50000</v>
      </c>
      <c r="K9" s="166">
        <v>50000</v>
      </c>
      <c r="L9" s="166">
        <v>350000</v>
      </c>
      <c r="M9" s="166">
        <v>462500</v>
      </c>
      <c r="N9" s="166">
        <v>50000</v>
      </c>
      <c r="O9" s="166">
        <v>1050000</v>
      </c>
      <c r="P9" s="166"/>
      <c r="Q9" s="166"/>
      <c r="R9" s="166"/>
      <c r="S9" s="166"/>
      <c r="T9" s="166">
        <v>50000</v>
      </c>
      <c r="U9" s="166">
        <v>50000</v>
      </c>
      <c r="V9" s="166"/>
      <c r="W9" s="166">
        <v>650000</v>
      </c>
      <c r="X9" s="166">
        <v>1300000</v>
      </c>
      <c r="Y9" s="166">
        <v>50000</v>
      </c>
      <c r="Z9" s="166">
        <v>50000</v>
      </c>
      <c r="AA9" s="166"/>
      <c r="AB9" s="166">
        <v>50000</v>
      </c>
      <c r="AC9" s="166"/>
      <c r="AD9" s="166">
        <v>50000</v>
      </c>
      <c r="AE9" s="166"/>
      <c r="AF9" s="166">
        <v>50000</v>
      </c>
      <c r="AG9" s="166">
        <v>440000</v>
      </c>
      <c r="AH9" s="166">
        <v>450000</v>
      </c>
      <c r="AI9" s="166">
        <v>450000</v>
      </c>
      <c r="AJ9" s="166">
        <v>550000</v>
      </c>
    </row>
    <row r="10" spans="2:36" ht="15">
      <c r="B10" s="83" t="s">
        <v>123</v>
      </c>
      <c r="C10" s="137">
        <f>SUM(D10:AJ10)</f>
        <v>10260000</v>
      </c>
      <c r="D10" s="166"/>
      <c r="E10" s="166"/>
      <c r="F10" s="166">
        <v>350000</v>
      </c>
      <c r="G10" s="166">
        <v>50000</v>
      </c>
      <c r="H10" s="166">
        <v>550000</v>
      </c>
      <c r="I10" s="166"/>
      <c r="J10" s="166">
        <v>50000</v>
      </c>
      <c r="K10" s="166">
        <v>50000</v>
      </c>
      <c r="L10" s="166">
        <v>550000</v>
      </c>
      <c r="M10" s="166">
        <v>50000</v>
      </c>
      <c r="N10" s="166">
        <v>1050000</v>
      </c>
      <c r="O10" s="166"/>
      <c r="P10" s="166">
        <v>1050000</v>
      </c>
      <c r="Q10" s="166"/>
      <c r="R10" s="166"/>
      <c r="S10" s="166"/>
      <c r="T10" s="166">
        <v>550000</v>
      </c>
      <c r="U10" s="166">
        <v>50000</v>
      </c>
      <c r="V10" s="166">
        <v>310000</v>
      </c>
      <c r="W10" s="166">
        <v>550000</v>
      </c>
      <c r="X10" s="166">
        <v>650000</v>
      </c>
      <c r="Y10" s="166">
        <v>800000</v>
      </c>
      <c r="Z10" s="166">
        <v>1050000</v>
      </c>
      <c r="AA10" s="166"/>
      <c r="AB10" s="166"/>
      <c r="AC10" s="166"/>
      <c r="AD10" s="166">
        <v>250000</v>
      </c>
      <c r="AE10" s="166">
        <v>50000</v>
      </c>
      <c r="AF10" s="166">
        <v>450000</v>
      </c>
      <c r="AG10" s="166">
        <v>1350000</v>
      </c>
      <c r="AH10" s="166">
        <v>50000</v>
      </c>
      <c r="AI10" s="166">
        <v>350000</v>
      </c>
      <c r="AJ10" s="166">
        <v>50000</v>
      </c>
    </row>
    <row r="11" spans="2:36" ht="15">
      <c r="B11" s="83" t="s">
        <v>63</v>
      </c>
      <c r="C11" s="137">
        <f>SUM(D11:AJ11)</f>
        <v>9837500</v>
      </c>
      <c r="D11" s="166">
        <v>400000</v>
      </c>
      <c r="E11" s="166"/>
      <c r="F11" s="166"/>
      <c r="G11" s="166">
        <v>250000</v>
      </c>
      <c r="H11" s="166"/>
      <c r="I11" s="166"/>
      <c r="J11" s="166"/>
      <c r="K11" s="166"/>
      <c r="L11" s="166">
        <v>1050000</v>
      </c>
      <c r="M11" s="166">
        <v>887500</v>
      </c>
      <c r="N11" s="166"/>
      <c r="O11" s="166"/>
      <c r="P11" s="166"/>
      <c r="Q11" s="166"/>
      <c r="R11" s="166"/>
      <c r="S11" s="166">
        <v>800000</v>
      </c>
      <c r="T11" s="166">
        <v>1050000</v>
      </c>
      <c r="U11" s="166"/>
      <c r="V11" s="166"/>
      <c r="W11" s="166"/>
      <c r="X11" s="166"/>
      <c r="Y11" s="166">
        <v>1300000</v>
      </c>
      <c r="Z11" s="166">
        <v>300000</v>
      </c>
      <c r="AA11" s="166">
        <v>1050000</v>
      </c>
      <c r="AB11" s="166">
        <v>450000</v>
      </c>
      <c r="AC11" s="166"/>
      <c r="AD11" s="166"/>
      <c r="AE11" s="166">
        <v>50000</v>
      </c>
      <c r="AF11" s="166"/>
      <c r="AG11" s="166">
        <v>700000</v>
      </c>
      <c r="AH11" s="166">
        <v>1300000</v>
      </c>
      <c r="AI11" s="166"/>
      <c r="AJ11" s="166">
        <v>250000</v>
      </c>
    </row>
    <row r="12" spans="2:36" ht="15">
      <c r="B12" s="83" t="s">
        <v>193</v>
      </c>
      <c r="C12" s="137">
        <f>SUM(D12:AJ12)</f>
        <v>9682500</v>
      </c>
      <c r="D12" s="166"/>
      <c r="E12" s="166">
        <v>50000</v>
      </c>
      <c r="F12" s="166">
        <v>550000</v>
      </c>
      <c r="G12" s="166">
        <v>50000</v>
      </c>
      <c r="H12" s="166"/>
      <c r="I12" s="166">
        <v>350000</v>
      </c>
      <c r="J12" s="166">
        <v>550000</v>
      </c>
      <c r="K12" s="166"/>
      <c r="L12" s="166">
        <v>350000</v>
      </c>
      <c r="M12" s="166">
        <v>887500</v>
      </c>
      <c r="N12" s="166">
        <v>50000</v>
      </c>
      <c r="O12" s="166">
        <v>50000</v>
      </c>
      <c r="P12" s="166">
        <v>750000</v>
      </c>
      <c r="Q12" s="166">
        <v>800000</v>
      </c>
      <c r="R12" s="166">
        <v>440000</v>
      </c>
      <c r="S12" s="166">
        <v>50000</v>
      </c>
      <c r="T12" s="166">
        <v>1300000</v>
      </c>
      <c r="U12" s="166">
        <v>50000</v>
      </c>
      <c r="V12" s="166">
        <v>50000</v>
      </c>
      <c r="W12" s="166">
        <v>50000</v>
      </c>
      <c r="X12" s="166">
        <v>50000</v>
      </c>
      <c r="Y12" s="166">
        <v>450000</v>
      </c>
      <c r="Z12" s="166">
        <v>50000</v>
      </c>
      <c r="AA12" s="166"/>
      <c r="AB12" s="166">
        <v>650000</v>
      </c>
      <c r="AC12" s="166">
        <v>1025000</v>
      </c>
      <c r="AD12" s="166">
        <v>50000</v>
      </c>
      <c r="AE12" s="166">
        <v>50000</v>
      </c>
      <c r="AF12" s="166">
        <v>50000</v>
      </c>
      <c r="AG12" s="166">
        <v>830000</v>
      </c>
      <c r="AH12" s="166">
        <v>50000</v>
      </c>
      <c r="AI12" s="166"/>
      <c r="AJ12" s="166">
        <v>50000</v>
      </c>
    </row>
    <row r="13" spans="2:36" s="35" customFormat="1" ht="15">
      <c r="B13" s="83" t="s">
        <v>58</v>
      </c>
      <c r="C13" s="137">
        <f>SUM(D13:AJ13)</f>
        <v>9182500</v>
      </c>
      <c r="D13" s="166">
        <v>400000</v>
      </c>
      <c r="E13" s="166">
        <v>50000</v>
      </c>
      <c r="F13" s="166">
        <v>450000</v>
      </c>
      <c r="G13" s="166"/>
      <c r="H13" s="166"/>
      <c r="I13" s="166"/>
      <c r="J13" s="166"/>
      <c r="K13" s="166"/>
      <c r="L13" s="166">
        <v>450000</v>
      </c>
      <c r="M13" s="166">
        <v>50000</v>
      </c>
      <c r="N13" s="166">
        <v>800000</v>
      </c>
      <c r="O13" s="166">
        <v>50000</v>
      </c>
      <c r="P13" s="166"/>
      <c r="Q13" s="166"/>
      <c r="R13" s="166"/>
      <c r="S13" s="166"/>
      <c r="T13" s="166">
        <v>50000</v>
      </c>
      <c r="U13" s="187">
        <v>887500</v>
      </c>
      <c r="V13" s="166">
        <v>1025000</v>
      </c>
      <c r="W13" s="166"/>
      <c r="X13" s="166"/>
      <c r="Y13" s="166">
        <v>250000</v>
      </c>
      <c r="Z13" s="166">
        <v>550000</v>
      </c>
      <c r="AA13" s="166">
        <v>1300000</v>
      </c>
      <c r="AB13" s="166">
        <v>50000</v>
      </c>
      <c r="AC13" s="166">
        <v>50000</v>
      </c>
      <c r="AD13" s="166">
        <v>50000</v>
      </c>
      <c r="AE13" s="166"/>
      <c r="AF13" s="166">
        <v>50000</v>
      </c>
      <c r="AG13" s="166">
        <v>570000</v>
      </c>
      <c r="AH13" s="166"/>
      <c r="AI13" s="166">
        <v>800000</v>
      </c>
      <c r="AJ13" s="166">
        <v>1300000</v>
      </c>
    </row>
    <row r="14" spans="2:36" s="35" customFormat="1" ht="15">
      <c r="B14" s="83" t="s">
        <v>70</v>
      </c>
      <c r="C14" s="137">
        <f>SUM(D14:AJ14)</f>
        <v>8105000</v>
      </c>
      <c r="D14" s="166">
        <v>400000</v>
      </c>
      <c r="E14" s="166"/>
      <c r="F14" s="166"/>
      <c r="G14" s="166">
        <v>650000</v>
      </c>
      <c r="H14" s="166"/>
      <c r="I14" s="166">
        <v>800000</v>
      </c>
      <c r="J14" s="166">
        <v>50000</v>
      </c>
      <c r="K14" s="166"/>
      <c r="L14" s="166">
        <v>50000</v>
      </c>
      <c r="M14" s="166">
        <v>462500</v>
      </c>
      <c r="N14" s="166">
        <v>50000</v>
      </c>
      <c r="O14" s="166">
        <v>50000</v>
      </c>
      <c r="P14" s="166"/>
      <c r="Q14" s="166"/>
      <c r="R14" s="166"/>
      <c r="S14" s="166">
        <v>1300000</v>
      </c>
      <c r="T14" s="185">
        <v>650000</v>
      </c>
      <c r="U14" s="166">
        <v>462500</v>
      </c>
      <c r="V14" s="186">
        <v>830000</v>
      </c>
      <c r="W14" s="166"/>
      <c r="X14" s="166"/>
      <c r="Y14" s="166"/>
      <c r="Z14" s="166"/>
      <c r="AA14" s="166">
        <v>650000</v>
      </c>
      <c r="AB14" s="166">
        <v>550000</v>
      </c>
      <c r="AC14" s="166"/>
      <c r="AD14" s="166">
        <v>1050000</v>
      </c>
      <c r="AE14" s="166">
        <v>50000</v>
      </c>
      <c r="AF14" s="166"/>
      <c r="AG14" s="166"/>
      <c r="AH14" s="166"/>
      <c r="AI14" s="166"/>
      <c r="AJ14" s="166">
        <v>50000</v>
      </c>
    </row>
    <row r="15" spans="2:36" ht="15">
      <c r="B15" s="83" t="s">
        <v>126</v>
      </c>
      <c r="C15" s="137">
        <f>SUM(D15:AJ15)</f>
        <v>8072500</v>
      </c>
      <c r="D15" s="166"/>
      <c r="E15" s="166">
        <v>650000</v>
      </c>
      <c r="F15" s="166">
        <v>250000</v>
      </c>
      <c r="G15" s="166">
        <v>50000</v>
      </c>
      <c r="H15" s="166">
        <v>250000</v>
      </c>
      <c r="I15" s="166">
        <v>650000</v>
      </c>
      <c r="J15" s="166"/>
      <c r="K15" s="166">
        <v>800000</v>
      </c>
      <c r="L15" s="166"/>
      <c r="M15" s="166"/>
      <c r="N15" s="166">
        <v>50000</v>
      </c>
      <c r="O15" s="166">
        <v>50000</v>
      </c>
      <c r="P15" s="166"/>
      <c r="Q15" s="166"/>
      <c r="R15" s="166"/>
      <c r="S15" s="166"/>
      <c r="T15" s="185">
        <v>50000</v>
      </c>
      <c r="U15" s="166">
        <v>762500</v>
      </c>
      <c r="V15" s="186">
        <v>50000</v>
      </c>
      <c r="W15" s="166"/>
      <c r="X15" s="166">
        <v>350000</v>
      </c>
      <c r="Y15" s="166"/>
      <c r="Z15" s="166">
        <v>50000</v>
      </c>
      <c r="AA15" s="166">
        <v>250000</v>
      </c>
      <c r="AB15" s="166">
        <v>800000</v>
      </c>
      <c r="AC15" s="166">
        <v>310000</v>
      </c>
      <c r="AD15" s="166">
        <v>800000</v>
      </c>
      <c r="AE15" s="166">
        <v>50000</v>
      </c>
      <c r="AF15" s="166">
        <v>250000</v>
      </c>
      <c r="AG15" s="166"/>
      <c r="AH15" s="166">
        <v>550000</v>
      </c>
      <c r="AI15" s="166">
        <v>1050000</v>
      </c>
      <c r="AJ15" s="166"/>
    </row>
    <row r="16" spans="2:36" ht="15">
      <c r="B16" s="85" t="s">
        <v>67</v>
      </c>
      <c r="C16" s="137">
        <f>SUM(D16:AJ16)</f>
        <v>7400000</v>
      </c>
      <c r="D16" s="166">
        <v>400000</v>
      </c>
      <c r="E16" s="166">
        <v>450000</v>
      </c>
      <c r="F16" s="166">
        <v>50000</v>
      </c>
      <c r="G16" s="166">
        <v>50000</v>
      </c>
      <c r="H16" s="166"/>
      <c r="I16" s="166">
        <v>50000</v>
      </c>
      <c r="J16" s="166">
        <v>350000</v>
      </c>
      <c r="K16" s="166">
        <v>50000</v>
      </c>
      <c r="L16" s="166">
        <v>50000</v>
      </c>
      <c r="M16" s="166">
        <v>50000</v>
      </c>
      <c r="N16" s="166">
        <v>50000</v>
      </c>
      <c r="O16" s="166">
        <v>800000</v>
      </c>
      <c r="P16" s="166">
        <v>350000</v>
      </c>
      <c r="Q16" s="166"/>
      <c r="R16" s="166"/>
      <c r="S16" s="166">
        <v>550000</v>
      </c>
      <c r="T16" s="185"/>
      <c r="U16" s="166"/>
      <c r="V16" s="186">
        <v>570000</v>
      </c>
      <c r="W16" s="166"/>
      <c r="X16" s="166"/>
      <c r="Y16" s="166">
        <v>650000</v>
      </c>
      <c r="Z16" s="166">
        <v>50000</v>
      </c>
      <c r="AA16" s="166"/>
      <c r="AB16" s="166">
        <v>250000</v>
      </c>
      <c r="AC16" s="166">
        <v>570000</v>
      </c>
      <c r="AD16" s="166">
        <v>50000</v>
      </c>
      <c r="AE16" s="166">
        <v>50000</v>
      </c>
      <c r="AF16" s="166">
        <v>1300000</v>
      </c>
      <c r="AG16" s="166">
        <v>310000</v>
      </c>
      <c r="AH16" s="166">
        <v>250000</v>
      </c>
      <c r="AI16" s="166">
        <v>50000</v>
      </c>
      <c r="AJ16" s="166">
        <v>50000</v>
      </c>
    </row>
    <row r="17" spans="2:36" ht="15">
      <c r="B17" s="83" t="s">
        <v>65</v>
      </c>
      <c r="C17" s="137">
        <f>SUM(D17:AJ17)</f>
        <v>5500000</v>
      </c>
      <c r="D17" s="166"/>
      <c r="E17" s="166"/>
      <c r="F17" s="166"/>
      <c r="G17" s="166">
        <v>350000</v>
      </c>
      <c r="H17" s="166">
        <v>800000</v>
      </c>
      <c r="I17" s="166"/>
      <c r="J17" s="166">
        <v>800000</v>
      </c>
      <c r="K17" s="166">
        <v>650000</v>
      </c>
      <c r="L17" s="166"/>
      <c r="M17" s="166"/>
      <c r="N17" s="166"/>
      <c r="O17" s="166">
        <v>50000</v>
      </c>
      <c r="P17" s="166"/>
      <c r="Q17" s="166">
        <v>550000</v>
      </c>
      <c r="R17" s="166"/>
      <c r="S17" s="166"/>
      <c r="T17" s="185"/>
      <c r="U17" s="166"/>
      <c r="V17" s="186">
        <v>700000</v>
      </c>
      <c r="W17" s="166"/>
      <c r="X17" s="166">
        <v>350000</v>
      </c>
      <c r="Y17" s="166"/>
      <c r="Z17" s="166"/>
      <c r="AA17" s="166"/>
      <c r="AB17" s="166"/>
      <c r="AC17" s="166"/>
      <c r="AD17" s="166">
        <v>450000</v>
      </c>
      <c r="AE17" s="166">
        <v>50000</v>
      </c>
      <c r="AF17" s="166">
        <v>50000</v>
      </c>
      <c r="AG17" s="166">
        <v>50000</v>
      </c>
      <c r="AH17" s="166">
        <v>350000</v>
      </c>
      <c r="AI17" s="166">
        <v>250000</v>
      </c>
      <c r="AJ17" s="166">
        <v>50000</v>
      </c>
    </row>
    <row r="18" spans="2:36" ht="15">
      <c r="B18" s="83" t="s">
        <v>62</v>
      </c>
      <c r="C18" s="137">
        <f>SUM(D18:AJ18)</f>
        <v>4910000</v>
      </c>
      <c r="D18" s="166"/>
      <c r="E18" s="166">
        <v>50000</v>
      </c>
      <c r="F18" s="166"/>
      <c r="G18" s="166">
        <v>50000</v>
      </c>
      <c r="H18" s="166"/>
      <c r="I18" s="166">
        <v>1300000</v>
      </c>
      <c r="J18" s="166"/>
      <c r="K18" s="166">
        <v>250000</v>
      </c>
      <c r="L18" s="166">
        <v>50000</v>
      </c>
      <c r="M18" s="166">
        <v>50000</v>
      </c>
      <c r="N18" s="166"/>
      <c r="O18" s="166"/>
      <c r="P18" s="166"/>
      <c r="Q18" s="166"/>
      <c r="R18" s="166">
        <v>310000</v>
      </c>
      <c r="S18" s="166"/>
      <c r="T18" s="185"/>
      <c r="U18" s="166"/>
      <c r="V18" s="186"/>
      <c r="W18" s="166">
        <v>50000</v>
      </c>
      <c r="X18" s="166"/>
      <c r="Y18" s="166">
        <v>350000</v>
      </c>
      <c r="Z18" s="166">
        <v>50000</v>
      </c>
      <c r="AA18" s="166">
        <v>50000</v>
      </c>
      <c r="AB18" s="166">
        <v>1000000</v>
      </c>
      <c r="AC18" s="166"/>
      <c r="AD18" s="166">
        <v>350000</v>
      </c>
      <c r="AE18" s="166"/>
      <c r="AF18" s="166">
        <v>550000</v>
      </c>
      <c r="AG18" s="166"/>
      <c r="AH18" s="166"/>
      <c r="AI18" s="166"/>
      <c r="AJ18" s="166">
        <v>450000</v>
      </c>
    </row>
    <row r="19" spans="2:36" ht="15">
      <c r="B19" s="85" t="s">
        <v>83</v>
      </c>
      <c r="C19" s="137">
        <f>SUM(D19:AJ19)</f>
        <v>4600000</v>
      </c>
      <c r="D19" s="166">
        <v>800000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85"/>
      <c r="U19" s="166"/>
      <c r="V19" s="186"/>
      <c r="W19" s="166">
        <v>1300000</v>
      </c>
      <c r="X19" s="166">
        <v>250000</v>
      </c>
      <c r="Y19" s="166">
        <v>650000</v>
      </c>
      <c r="Z19" s="166">
        <v>800000</v>
      </c>
      <c r="AA19" s="166"/>
      <c r="AB19" s="166"/>
      <c r="AC19" s="166"/>
      <c r="AD19" s="166"/>
      <c r="AE19" s="166">
        <v>750000</v>
      </c>
      <c r="AF19" s="166"/>
      <c r="AG19" s="166">
        <v>50000</v>
      </c>
      <c r="AH19" s="166"/>
      <c r="AI19" s="166"/>
      <c r="AJ19" s="166"/>
    </row>
    <row r="20" spans="2:36" ht="15">
      <c r="B20" s="83" t="s">
        <v>80</v>
      </c>
      <c r="C20" s="137">
        <f>SUM(D20:AJ20)</f>
        <v>3570000</v>
      </c>
      <c r="D20" s="166"/>
      <c r="E20" s="166">
        <v>650000</v>
      </c>
      <c r="F20" s="166">
        <v>50000</v>
      </c>
      <c r="G20" s="166">
        <v>50000</v>
      </c>
      <c r="H20" s="166">
        <v>50000</v>
      </c>
      <c r="I20" s="166"/>
      <c r="J20" s="166">
        <v>50000</v>
      </c>
      <c r="K20" s="166">
        <v>50000</v>
      </c>
      <c r="L20" s="166"/>
      <c r="M20" s="166"/>
      <c r="N20" s="166">
        <v>50000</v>
      </c>
      <c r="O20" s="166">
        <v>50000</v>
      </c>
      <c r="P20" s="166"/>
      <c r="Q20" s="166">
        <v>750000</v>
      </c>
      <c r="R20" s="166">
        <v>570000</v>
      </c>
      <c r="S20" s="166">
        <v>50000</v>
      </c>
      <c r="T20" s="185"/>
      <c r="U20" s="166"/>
      <c r="V20" s="186"/>
      <c r="W20" s="166"/>
      <c r="X20" s="166"/>
      <c r="Y20" s="166"/>
      <c r="Z20" s="166">
        <v>50000</v>
      </c>
      <c r="AA20" s="166">
        <v>50000</v>
      </c>
      <c r="AB20" s="166">
        <v>50000</v>
      </c>
      <c r="AC20" s="166">
        <v>50000</v>
      </c>
      <c r="AD20" s="166">
        <v>50000</v>
      </c>
      <c r="AE20" s="166">
        <v>800000</v>
      </c>
      <c r="AF20" s="166">
        <v>50000</v>
      </c>
      <c r="AG20" s="166">
        <v>50000</v>
      </c>
      <c r="AH20" s="166">
        <v>50000</v>
      </c>
      <c r="AI20" s="166"/>
      <c r="AJ20" s="166"/>
    </row>
    <row r="21" spans="2:36" ht="15">
      <c r="B21" s="83" t="s">
        <v>81</v>
      </c>
      <c r="C21" s="137">
        <f>SUM(D21:AJ21)</f>
        <v>3440000</v>
      </c>
      <c r="D21" s="166"/>
      <c r="E21" s="166"/>
      <c r="F21" s="166"/>
      <c r="G21" s="166"/>
      <c r="H21" s="166"/>
      <c r="I21" s="166"/>
      <c r="J21" s="166"/>
      <c r="K21" s="166"/>
      <c r="L21" s="166">
        <v>250000</v>
      </c>
      <c r="M21" s="166">
        <v>50000</v>
      </c>
      <c r="N21" s="166">
        <v>250000</v>
      </c>
      <c r="O21" s="166">
        <v>550000</v>
      </c>
      <c r="P21" s="166"/>
      <c r="Q21" s="166"/>
      <c r="R21" s="166"/>
      <c r="S21" s="166"/>
      <c r="T21" s="185"/>
      <c r="U21" s="166"/>
      <c r="V21" s="186"/>
      <c r="W21" s="166"/>
      <c r="X21" s="166"/>
      <c r="Y21" s="166"/>
      <c r="Z21" s="166"/>
      <c r="AA21" s="166"/>
      <c r="AB21" s="166"/>
      <c r="AC21" s="166"/>
      <c r="AD21" s="166">
        <v>50000</v>
      </c>
      <c r="AE21" s="166">
        <v>550000</v>
      </c>
      <c r="AF21" s="166">
        <v>650000</v>
      </c>
      <c r="AG21" s="166">
        <v>440000</v>
      </c>
      <c r="AH21" s="166">
        <v>650000</v>
      </c>
      <c r="AI21" s="166"/>
      <c r="AJ21" s="166"/>
    </row>
    <row r="22" spans="2:36" ht="15">
      <c r="B22" s="85" t="s">
        <v>69</v>
      </c>
      <c r="C22" s="137">
        <f>SUM(D22:AJ22)</f>
        <v>2662500</v>
      </c>
      <c r="D22" s="166"/>
      <c r="E22" s="166">
        <v>50000</v>
      </c>
      <c r="F22" s="166"/>
      <c r="G22" s="166">
        <v>50000</v>
      </c>
      <c r="H22" s="166">
        <v>50000</v>
      </c>
      <c r="I22" s="166"/>
      <c r="J22" s="166">
        <v>50000</v>
      </c>
      <c r="K22" s="166">
        <v>50000</v>
      </c>
      <c r="L22" s="166">
        <v>50000</v>
      </c>
      <c r="M22" s="166">
        <v>50000</v>
      </c>
      <c r="N22" s="166">
        <v>350000</v>
      </c>
      <c r="O22" s="166"/>
      <c r="P22" s="166"/>
      <c r="Q22" s="166">
        <v>350000</v>
      </c>
      <c r="R22" s="166">
        <v>50000</v>
      </c>
      <c r="S22" s="166"/>
      <c r="T22" s="185">
        <v>50000</v>
      </c>
      <c r="U22" s="166">
        <v>462500</v>
      </c>
      <c r="V22" s="186"/>
      <c r="W22" s="166"/>
      <c r="X22" s="166">
        <v>50000</v>
      </c>
      <c r="Y22" s="166"/>
      <c r="Z22" s="166">
        <v>800000</v>
      </c>
      <c r="AA22" s="166"/>
      <c r="AB22" s="166">
        <v>50000</v>
      </c>
      <c r="AC22" s="166">
        <v>50000</v>
      </c>
      <c r="AD22" s="166"/>
      <c r="AE22" s="166"/>
      <c r="AF22" s="166"/>
      <c r="AG22" s="166"/>
      <c r="AH22" s="166">
        <v>50000</v>
      </c>
      <c r="AI22" s="166"/>
      <c r="AJ22" s="166">
        <v>50000</v>
      </c>
    </row>
    <row r="23" spans="2:36" ht="15">
      <c r="B23" s="83" t="s">
        <v>66</v>
      </c>
      <c r="C23" s="137">
        <f>SUM(D23:AJ23)</f>
        <v>2580000</v>
      </c>
      <c r="D23" s="166"/>
      <c r="E23" s="166">
        <v>50000</v>
      </c>
      <c r="F23" s="166">
        <v>50000</v>
      </c>
      <c r="G23" s="166">
        <v>50000</v>
      </c>
      <c r="H23" s="166"/>
      <c r="I23" s="166"/>
      <c r="J23" s="166"/>
      <c r="K23" s="166"/>
      <c r="L23" s="166">
        <v>50000</v>
      </c>
      <c r="M23" s="166">
        <v>50000</v>
      </c>
      <c r="N23" s="166"/>
      <c r="O23" s="166">
        <v>50000</v>
      </c>
      <c r="P23" s="166"/>
      <c r="Q23" s="166"/>
      <c r="R23" s="166">
        <v>830000</v>
      </c>
      <c r="S23" s="166">
        <v>1050000</v>
      </c>
      <c r="T23" s="185"/>
      <c r="U23" s="166"/>
      <c r="V23" s="186"/>
      <c r="W23" s="166"/>
      <c r="X23" s="166">
        <v>50000</v>
      </c>
      <c r="Y23" s="166">
        <v>50000</v>
      </c>
      <c r="Z23" s="166">
        <v>50000</v>
      </c>
      <c r="AA23" s="166"/>
      <c r="AB23" s="166"/>
      <c r="AC23" s="166">
        <v>50000</v>
      </c>
      <c r="AD23" s="166">
        <v>50000</v>
      </c>
      <c r="AE23" s="166"/>
      <c r="AF23" s="166">
        <v>50000</v>
      </c>
      <c r="AG23" s="166">
        <v>50000</v>
      </c>
      <c r="AH23" s="166"/>
      <c r="AI23" s="166"/>
      <c r="AJ23" s="166">
        <v>50000</v>
      </c>
    </row>
    <row r="24" spans="2:36" ht="15">
      <c r="B24" s="83" t="s">
        <v>84</v>
      </c>
      <c r="C24" s="137">
        <f>SUM(D24:AJ24)</f>
        <v>2087500</v>
      </c>
      <c r="D24" s="166"/>
      <c r="E24" s="166">
        <v>50000</v>
      </c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>
        <v>350000</v>
      </c>
      <c r="U24" s="188">
        <v>887500</v>
      </c>
      <c r="V24" s="166">
        <v>50000</v>
      </c>
      <c r="W24" s="166"/>
      <c r="X24" s="166"/>
      <c r="Y24" s="166"/>
      <c r="Z24" s="166">
        <v>50000</v>
      </c>
      <c r="AA24" s="166"/>
      <c r="AB24" s="166">
        <v>50000</v>
      </c>
      <c r="AC24" s="166"/>
      <c r="AD24" s="166"/>
      <c r="AE24" s="166">
        <v>650000</v>
      </c>
      <c r="AF24" s="166"/>
      <c r="AG24" s="166"/>
      <c r="AH24" s="166"/>
      <c r="AI24" s="166"/>
      <c r="AJ24" s="166"/>
    </row>
    <row r="25" spans="2:36" ht="15">
      <c r="B25" s="83" t="s">
        <v>125</v>
      </c>
      <c r="C25" s="137">
        <f>SUM(D25:AJ25)</f>
        <v>1300000</v>
      </c>
      <c r="D25" s="166"/>
      <c r="E25" s="166">
        <v>50000</v>
      </c>
      <c r="F25" s="166"/>
      <c r="G25" s="166"/>
      <c r="H25" s="166"/>
      <c r="I25" s="166"/>
      <c r="J25" s="166"/>
      <c r="K25" s="166">
        <v>550000</v>
      </c>
      <c r="L25" s="166"/>
      <c r="M25" s="166"/>
      <c r="N25" s="166"/>
      <c r="O25" s="166">
        <v>550000</v>
      </c>
      <c r="P25" s="166"/>
      <c r="Q25" s="166"/>
      <c r="R25" s="166"/>
      <c r="S25" s="166"/>
      <c r="T25" s="166">
        <v>50000</v>
      </c>
      <c r="U25" s="166"/>
      <c r="V25" s="166"/>
      <c r="W25" s="166"/>
      <c r="X25" s="166"/>
      <c r="Y25" s="166"/>
      <c r="Z25" s="166"/>
      <c r="AA25" s="166"/>
      <c r="AB25" s="166"/>
      <c r="AC25" s="166">
        <v>50000</v>
      </c>
      <c r="AD25" s="166"/>
      <c r="AE25" s="166"/>
      <c r="AF25" s="166"/>
      <c r="AG25" s="166"/>
      <c r="AH25" s="166"/>
      <c r="AI25" s="166">
        <v>50000</v>
      </c>
      <c r="AJ25" s="166"/>
    </row>
    <row r="26" spans="2:36" ht="15">
      <c r="B26" s="85" t="s">
        <v>68</v>
      </c>
      <c r="C26" s="137">
        <f>SUM(D26:AJ26)</f>
        <v>350000</v>
      </c>
      <c r="D26" s="167"/>
      <c r="E26" s="167"/>
      <c r="F26" s="167"/>
      <c r="G26" s="167"/>
      <c r="H26" s="167"/>
      <c r="I26" s="167"/>
      <c r="J26" s="167"/>
      <c r="K26" s="167"/>
      <c r="L26" s="167">
        <v>50000</v>
      </c>
      <c r="M26" s="167">
        <v>50000</v>
      </c>
      <c r="N26" s="167"/>
      <c r="O26" s="167">
        <v>50000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>
        <v>50000</v>
      </c>
      <c r="AE26" s="167"/>
      <c r="AF26" s="167">
        <v>50000</v>
      </c>
      <c r="AG26" s="167"/>
      <c r="AH26" s="167">
        <v>50000</v>
      </c>
      <c r="AI26" s="167"/>
      <c r="AJ26" s="167">
        <v>50000</v>
      </c>
    </row>
    <row r="28" spans="2:36" s="175" customFormat="1" ht="12.75">
      <c r="B28" s="175" t="s">
        <v>173</v>
      </c>
      <c r="C28" s="176"/>
      <c r="D28" s="176">
        <f aca="true" t="shared" si="0" ref="D28:Y28">SUM(D3:D26)</f>
        <v>6400000</v>
      </c>
      <c r="E28" s="176">
        <f t="shared" si="0"/>
        <v>15050000</v>
      </c>
      <c r="F28" s="176">
        <f t="shared" si="0"/>
        <v>6000000</v>
      </c>
      <c r="G28" s="176">
        <f t="shared" si="0"/>
        <v>6150000</v>
      </c>
      <c r="H28" s="176">
        <f t="shared" si="0"/>
        <v>5800000</v>
      </c>
      <c r="I28" s="176">
        <f t="shared" si="0"/>
        <v>5900000</v>
      </c>
      <c r="J28" s="176">
        <f t="shared" si="0"/>
        <v>5700000</v>
      </c>
      <c r="K28" s="176">
        <f t="shared" si="0"/>
        <v>6050000</v>
      </c>
      <c r="L28" s="176">
        <f t="shared" si="0"/>
        <v>7250000</v>
      </c>
      <c r="M28" s="176">
        <f t="shared" si="0"/>
        <v>4500000</v>
      </c>
      <c r="N28" s="176">
        <f t="shared" si="0"/>
        <v>5750000</v>
      </c>
      <c r="O28" s="176">
        <f t="shared" si="0"/>
        <v>5800000</v>
      </c>
      <c r="P28" s="176">
        <f t="shared" si="0"/>
        <v>5450000</v>
      </c>
      <c r="Q28" s="176">
        <f t="shared" si="0"/>
        <v>5700000</v>
      </c>
      <c r="R28" s="176">
        <f t="shared" si="0"/>
        <v>7340000</v>
      </c>
      <c r="S28" s="176">
        <f t="shared" si="0"/>
        <v>5500000</v>
      </c>
      <c r="T28" s="176">
        <f t="shared" si="0"/>
        <v>6000000</v>
      </c>
      <c r="U28" s="176">
        <f t="shared" si="0"/>
        <v>5950000</v>
      </c>
      <c r="V28" s="176">
        <f t="shared" si="0"/>
        <v>7490000</v>
      </c>
      <c r="W28" s="176">
        <f t="shared" si="0"/>
        <v>5800000</v>
      </c>
      <c r="X28" s="176">
        <f t="shared" si="0"/>
        <v>6000000</v>
      </c>
      <c r="Y28" s="176">
        <f t="shared" si="0"/>
        <v>6900000</v>
      </c>
      <c r="Z28" s="176">
        <f>SUM(Z3:Z26)</f>
        <v>5900000</v>
      </c>
      <c r="AA28" s="176">
        <f aca="true" t="shared" si="1" ref="AA28:AJ28">SUM(AA3:AA26)</f>
        <v>5900000</v>
      </c>
      <c r="AB28" s="176">
        <f t="shared" si="1"/>
        <v>6050000</v>
      </c>
      <c r="AC28" s="176">
        <f t="shared" si="1"/>
        <v>7590000</v>
      </c>
      <c r="AD28" s="176">
        <f t="shared" si="1"/>
        <v>6000000</v>
      </c>
      <c r="AE28" s="176">
        <f t="shared" si="1"/>
        <v>6100000</v>
      </c>
      <c r="AF28" s="176">
        <f t="shared" si="1"/>
        <v>5850000</v>
      </c>
      <c r="AG28" s="176">
        <f t="shared" si="1"/>
        <v>7540000</v>
      </c>
      <c r="AH28" s="176">
        <f t="shared" si="1"/>
        <v>6050000</v>
      </c>
      <c r="AI28" s="176">
        <f t="shared" si="1"/>
        <v>5800000</v>
      </c>
      <c r="AJ28" s="176">
        <f t="shared" si="1"/>
        <v>6200000</v>
      </c>
    </row>
    <row r="30" spans="4:14" ht="1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</sheetData>
  <sheetProtection/>
  <autoFilter ref="C2:C20">
    <sortState ref="C3:C30">
      <sortCondition descending="1" sortBy="value" ref="C3:C30"/>
    </sortState>
  </autoFilter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C2" sqref="C2:O2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196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197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79</v>
      </c>
      <c r="C5" s="101">
        <v>5.9</v>
      </c>
      <c r="D5" s="105">
        <v>72</v>
      </c>
      <c r="E5" s="112">
        <v>25</v>
      </c>
      <c r="F5" s="104"/>
      <c r="G5" s="105">
        <v>1</v>
      </c>
      <c r="H5" s="113">
        <v>10</v>
      </c>
      <c r="I5" s="106">
        <f aca="true" t="shared" si="0" ref="I5:I12">O7+J5</f>
        <v>1675000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82</v>
      </c>
      <c r="C6" s="101">
        <v>19.8</v>
      </c>
      <c r="D6" s="105">
        <v>74</v>
      </c>
      <c r="E6" s="112">
        <v>33</v>
      </c>
      <c r="F6" s="104"/>
      <c r="G6" s="105">
        <v>2</v>
      </c>
      <c r="H6" s="109">
        <v>8</v>
      </c>
      <c r="I6" s="106">
        <f t="shared" si="0"/>
        <v>1350000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29</v>
      </c>
      <c r="C7" s="111">
        <v>7.8</v>
      </c>
      <c r="D7" s="105">
        <v>76</v>
      </c>
      <c r="E7" s="112">
        <v>29</v>
      </c>
      <c r="F7" s="110">
        <v>6.93</v>
      </c>
      <c r="G7" s="110">
        <v>3</v>
      </c>
      <c r="H7" s="109">
        <v>6</v>
      </c>
      <c r="I7" s="106">
        <f t="shared" si="0"/>
        <v>1415000</v>
      </c>
      <c r="J7" s="122">
        <f t="shared" si="1"/>
        <v>440000</v>
      </c>
      <c r="K7" s="128" t="s">
        <v>8</v>
      </c>
      <c r="L7" s="129"/>
      <c r="M7" s="130"/>
      <c r="N7" s="113">
        <v>10</v>
      </c>
      <c r="O7" s="106">
        <f>O15*25%</f>
        <v>1625000</v>
      </c>
      <c r="Q7" s="156"/>
    </row>
    <row r="8" spans="2:19" s="107" customFormat="1" ht="18" customHeight="1">
      <c r="B8" s="100" t="s">
        <v>66</v>
      </c>
      <c r="C8" s="101">
        <v>16.9</v>
      </c>
      <c r="D8" s="105">
        <v>77</v>
      </c>
      <c r="E8" s="103">
        <v>35</v>
      </c>
      <c r="F8" s="110"/>
      <c r="G8" s="105">
        <v>4</v>
      </c>
      <c r="H8" s="109">
        <v>5</v>
      </c>
      <c r="I8" s="106">
        <f t="shared" si="0"/>
        <v>830000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1300000</v>
      </c>
      <c r="P8" s="114"/>
      <c r="Q8" s="156"/>
      <c r="R8" s="114"/>
      <c r="S8" s="115"/>
    </row>
    <row r="9" spans="2:17" s="107" customFormat="1" ht="18" customHeight="1">
      <c r="B9" s="100" t="s">
        <v>61</v>
      </c>
      <c r="C9" s="101">
        <v>8.6</v>
      </c>
      <c r="D9" s="105">
        <v>79</v>
      </c>
      <c r="E9" s="103">
        <v>32</v>
      </c>
      <c r="F9" s="104"/>
      <c r="G9" s="105">
        <v>5</v>
      </c>
      <c r="H9" s="109">
        <v>4</v>
      </c>
      <c r="I9" s="106">
        <f t="shared" si="0"/>
        <v>700000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975000</v>
      </c>
      <c r="Q9" s="156"/>
    </row>
    <row r="10" spans="2:17" s="107" customFormat="1" ht="18" customHeight="1">
      <c r="B10" s="100" t="s">
        <v>80</v>
      </c>
      <c r="C10" s="101">
        <v>19.1</v>
      </c>
      <c r="D10" s="105">
        <v>81</v>
      </c>
      <c r="E10" s="103">
        <v>27</v>
      </c>
      <c r="F10" s="104"/>
      <c r="G10" s="116">
        <v>6</v>
      </c>
      <c r="H10" s="109">
        <v>3</v>
      </c>
      <c r="I10" s="106">
        <f t="shared" si="0"/>
        <v>570000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780000</v>
      </c>
      <c r="Q10" s="156"/>
    </row>
    <row r="11" spans="2:17" s="107" customFormat="1" ht="18" customHeight="1">
      <c r="B11" s="100" t="s">
        <v>192</v>
      </c>
      <c r="C11" s="101">
        <v>17.1</v>
      </c>
      <c r="D11" s="105">
        <v>85</v>
      </c>
      <c r="E11" s="103">
        <v>39</v>
      </c>
      <c r="F11" s="104"/>
      <c r="G11" s="105">
        <v>7</v>
      </c>
      <c r="H11" s="109">
        <v>2</v>
      </c>
      <c r="I11" s="106">
        <f t="shared" si="0"/>
        <v>440000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650000</v>
      </c>
      <c r="Q11" s="156"/>
    </row>
    <row r="12" spans="2:17" s="107" customFormat="1" ht="18" customHeight="1">
      <c r="B12" s="100" t="s">
        <v>62</v>
      </c>
      <c r="C12" s="101">
        <v>24.2</v>
      </c>
      <c r="D12" s="108">
        <v>86</v>
      </c>
      <c r="E12" s="112">
        <v>38</v>
      </c>
      <c r="F12" s="110"/>
      <c r="G12" s="105">
        <v>8</v>
      </c>
      <c r="H12" s="109">
        <v>1</v>
      </c>
      <c r="I12" s="106">
        <f t="shared" si="0"/>
        <v>310000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520000</v>
      </c>
      <c r="Q12" s="156"/>
    </row>
    <row r="13" spans="2:17" s="107" customFormat="1" ht="18" customHeight="1">
      <c r="B13" s="100" t="s">
        <v>69</v>
      </c>
      <c r="C13" s="101">
        <v>26.8</v>
      </c>
      <c r="D13" s="105">
        <v>88</v>
      </c>
      <c r="E13" s="103">
        <v>35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390000</v>
      </c>
      <c r="Q13" s="156"/>
    </row>
    <row r="14" spans="2:17" s="107" customFormat="1" ht="18" customHeight="1">
      <c r="B14" s="100" t="s">
        <v>83</v>
      </c>
      <c r="C14" s="111">
        <v>7.5</v>
      </c>
      <c r="D14" s="108"/>
      <c r="E14" s="103"/>
      <c r="F14" s="104"/>
      <c r="G14" s="105"/>
      <c r="H14" s="105"/>
      <c r="I14" s="106">
        <f t="shared" si="2"/>
        <v>0</v>
      </c>
      <c r="J14" s="122">
        <f t="shared" si="1"/>
        <v>0</v>
      </c>
      <c r="K14" s="131" t="s">
        <v>15</v>
      </c>
      <c r="L14" s="132"/>
      <c r="M14" s="133"/>
      <c r="N14" s="109">
        <v>1</v>
      </c>
      <c r="O14" s="106">
        <f>O15*4%</f>
        <v>260000</v>
      </c>
      <c r="Q14" s="156"/>
    </row>
    <row r="15" spans="2:17" s="107" customFormat="1" ht="18" customHeight="1">
      <c r="B15" s="100" t="s">
        <v>77</v>
      </c>
      <c r="C15" s="101">
        <v>9.6</v>
      </c>
      <c r="D15" s="105"/>
      <c r="E15" s="112"/>
      <c r="F15" s="110"/>
      <c r="G15" s="105"/>
      <c r="H15" s="105"/>
      <c r="I15" s="106">
        <f t="shared" si="2"/>
        <v>0</v>
      </c>
      <c r="J15" s="122">
        <f t="shared" si="1"/>
        <v>0</v>
      </c>
      <c r="K15" s="136" t="s">
        <v>3</v>
      </c>
      <c r="L15" s="132"/>
      <c r="M15" s="133"/>
      <c r="N15" s="109"/>
      <c r="O15" s="119">
        <v>6500000</v>
      </c>
      <c r="Q15" s="156"/>
    </row>
    <row r="16" spans="2:17" s="107" customFormat="1" ht="18" customHeight="1">
      <c r="B16" s="117" t="s">
        <v>30</v>
      </c>
      <c r="C16" s="118">
        <v>10.6</v>
      </c>
      <c r="D16" s="105"/>
      <c r="E16" s="103"/>
      <c r="F16" s="104"/>
      <c r="G16" s="105"/>
      <c r="H16" s="105"/>
      <c r="I16" s="106">
        <f t="shared" si="2"/>
        <v>0</v>
      </c>
      <c r="J16" s="122">
        <f t="shared" si="1"/>
        <v>0</v>
      </c>
      <c r="K16" s="136" t="s">
        <v>128</v>
      </c>
      <c r="L16" s="132"/>
      <c r="M16" s="133"/>
      <c r="N16" s="109">
        <v>1</v>
      </c>
      <c r="O16" s="106">
        <f>O13</f>
        <v>390000</v>
      </c>
      <c r="Q16" s="156"/>
    </row>
    <row r="17" spans="2:17" s="107" customFormat="1" ht="18" customHeight="1">
      <c r="B17" s="117" t="s">
        <v>65</v>
      </c>
      <c r="C17" s="118">
        <v>11.2</v>
      </c>
      <c r="D17" s="110"/>
      <c r="E17" s="112"/>
      <c r="F17" s="110"/>
      <c r="G17" s="110"/>
      <c r="H17" s="110"/>
      <c r="I17" s="106">
        <f t="shared" si="2"/>
        <v>0</v>
      </c>
      <c r="J17" s="122">
        <f t="shared" si="1"/>
        <v>0</v>
      </c>
      <c r="Q17" s="156"/>
    </row>
    <row r="18" spans="2:19" s="107" customFormat="1" ht="18" customHeight="1">
      <c r="B18" s="100" t="s">
        <v>64</v>
      </c>
      <c r="C18" s="101">
        <v>14.2</v>
      </c>
      <c r="D18" s="102"/>
      <c r="E18" s="103"/>
      <c r="F18" s="104"/>
      <c r="G18" s="110"/>
      <c r="H18" s="110"/>
      <c r="I18" s="106">
        <f t="shared" si="2"/>
        <v>0</v>
      </c>
      <c r="J18" s="122">
        <f t="shared" si="1"/>
        <v>0</v>
      </c>
      <c r="P18" s="114"/>
      <c r="Q18" s="156"/>
      <c r="R18" s="114"/>
      <c r="S18" s="115"/>
    </row>
    <row r="19" spans="2:19" s="107" customFormat="1" ht="18" customHeight="1">
      <c r="B19" s="100" t="s">
        <v>78</v>
      </c>
      <c r="C19" s="101">
        <v>16.2</v>
      </c>
      <c r="D19" s="110"/>
      <c r="E19" s="103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67</v>
      </c>
      <c r="C20" s="101">
        <v>17.8</v>
      </c>
      <c r="D20" s="112"/>
      <c r="E20" s="103"/>
      <c r="F20" s="110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1300000</v>
      </c>
      <c r="P20" s="115"/>
      <c r="Q20" s="115"/>
      <c r="R20" s="115"/>
      <c r="S20" s="115"/>
    </row>
    <row r="21" spans="2:15" s="4" customFormat="1" ht="18" customHeight="1">
      <c r="B21" s="100" t="s">
        <v>68</v>
      </c>
      <c r="C21" s="101">
        <v>19.9</v>
      </c>
      <c r="D21" s="105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975000</v>
      </c>
    </row>
    <row r="22" spans="2:15" s="4" customFormat="1" ht="18" customHeight="1">
      <c r="B22" s="100" t="s">
        <v>70</v>
      </c>
      <c r="C22" s="101">
        <v>20.4</v>
      </c>
      <c r="D22" s="105"/>
      <c r="E22" s="103"/>
      <c r="F22" s="110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650000</v>
      </c>
    </row>
    <row r="23" spans="2:15" s="4" customFormat="1" ht="18" customHeight="1">
      <c r="B23" s="100" t="s">
        <v>59</v>
      </c>
      <c r="C23" s="101">
        <v>21.4</v>
      </c>
      <c r="D23" s="108"/>
      <c r="E23" s="112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325000</v>
      </c>
    </row>
    <row r="24" spans="2:15" s="4" customFormat="1" ht="18" customHeight="1">
      <c r="B24" s="100" t="s">
        <v>63</v>
      </c>
      <c r="C24" s="111">
        <v>23.6</v>
      </c>
      <c r="D24" s="108"/>
      <c r="E24" s="103"/>
      <c r="F24" s="104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60</v>
      </c>
      <c r="C25" s="111">
        <v>23.7</v>
      </c>
      <c r="D25" s="108"/>
      <c r="E25" s="103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58</v>
      </c>
      <c r="C26" s="101">
        <v>24.5</v>
      </c>
      <c r="D26" s="105"/>
      <c r="E26" s="108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81</v>
      </c>
      <c r="C27" s="101">
        <v>31</v>
      </c>
      <c r="D27" s="105"/>
      <c r="E27" s="112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1088750</v>
      </c>
    </row>
    <row r="28" spans="2:15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536250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7340000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C2" sqref="C2:O2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194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195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70</v>
      </c>
      <c r="C5" s="101">
        <v>20.4</v>
      </c>
      <c r="D5" s="105">
        <v>35</v>
      </c>
      <c r="E5" s="103">
        <v>33</v>
      </c>
      <c r="F5" s="104"/>
      <c r="G5" s="105">
        <v>1</v>
      </c>
      <c r="H5" s="113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66</v>
      </c>
      <c r="C6" s="101">
        <v>16.9</v>
      </c>
      <c r="D6" s="105">
        <v>33</v>
      </c>
      <c r="E6" s="103">
        <v>35</v>
      </c>
      <c r="F6" s="104"/>
      <c r="G6" s="105">
        <v>2</v>
      </c>
      <c r="H6" s="109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63</v>
      </c>
      <c r="C7" s="111">
        <v>23.6</v>
      </c>
      <c r="D7" s="108">
        <v>32</v>
      </c>
      <c r="E7" s="103">
        <v>39</v>
      </c>
      <c r="F7" s="110"/>
      <c r="G7" s="110">
        <v>3</v>
      </c>
      <c r="H7" s="109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79</v>
      </c>
      <c r="C8" s="101">
        <v>5.9</v>
      </c>
      <c r="D8" s="105">
        <v>31</v>
      </c>
      <c r="E8" s="112">
        <v>36</v>
      </c>
      <c r="F8" s="104"/>
      <c r="G8" s="105">
        <v>4</v>
      </c>
      <c r="H8" s="109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67</v>
      </c>
      <c r="C9" s="101">
        <v>17.8</v>
      </c>
      <c r="D9" s="112">
        <v>29</v>
      </c>
      <c r="E9" s="103">
        <v>34</v>
      </c>
      <c r="F9" s="110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82</v>
      </c>
      <c r="C10" s="101">
        <v>19.8</v>
      </c>
      <c r="D10" s="105">
        <v>29</v>
      </c>
      <c r="E10" s="112">
        <v>37</v>
      </c>
      <c r="F10" s="104"/>
      <c r="G10" s="116">
        <v>6</v>
      </c>
      <c r="H10" s="109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29</v>
      </c>
      <c r="C11" s="111">
        <v>7.8</v>
      </c>
      <c r="D11" s="105">
        <v>27</v>
      </c>
      <c r="E11" s="112">
        <v>32</v>
      </c>
      <c r="F11" s="110"/>
      <c r="G11" s="105">
        <v>7</v>
      </c>
      <c r="H11" s="109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59</v>
      </c>
      <c r="C12" s="101">
        <v>21.4</v>
      </c>
      <c r="D12" s="108">
        <v>27</v>
      </c>
      <c r="E12" s="112">
        <v>40</v>
      </c>
      <c r="F12" s="104"/>
      <c r="G12" s="105">
        <v>8</v>
      </c>
      <c r="H12" s="109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192</v>
      </c>
      <c r="C13" s="101">
        <v>17.1</v>
      </c>
      <c r="D13" s="105">
        <v>24</v>
      </c>
      <c r="E13" s="103">
        <v>36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80</v>
      </c>
      <c r="C14" s="101">
        <v>19.1</v>
      </c>
      <c r="D14" s="105">
        <v>13</v>
      </c>
      <c r="E14" s="103">
        <v>42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83</v>
      </c>
      <c r="C15" s="111">
        <v>7.5</v>
      </c>
      <c r="D15" s="108"/>
      <c r="E15" s="103"/>
      <c r="F15" s="104"/>
      <c r="G15" s="105"/>
      <c r="H15" s="105"/>
      <c r="I15" s="106">
        <f t="shared" si="2"/>
        <v>0</v>
      </c>
      <c r="J15" s="122">
        <f t="shared" si="1"/>
        <v>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61</v>
      </c>
      <c r="C16" s="101">
        <v>8.6</v>
      </c>
      <c r="D16" s="105"/>
      <c r="E16" s="103"/>
      <c r="F16" s="110"/>
      <c r="G16" s="105"/>
      <c r="H16" s="105"/>
      <c r="I16" s="106">
        <f t="shared" si="2"/>
        <v>0</v>
      </c>
      <c r="J16" s="122">
        <f t="shared" si="1"/>
        <v>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77</v>
      </c>
      <c r="C17" s="101">
        <v>9.6</v>
      </c>
      <c r="D17" s="105"/>
      <c r="E17" s="112"/>
      <c r="F17" s="104"/>
      <c r="G17" s="110"/>
      <c r="H17" s="110"/>
      <c r="I17" s="106">
        <f t="shared" si="2"/>
        <v>0</v>
      </c>
      <c r="J17" s="122">
        <f t="shared" si="1"/>
        <v>0</v>
      </c>
      <c r="Q17" s="156"/>
    </row>
    <row r="18" spans="2:19" s="107" customFormat="1" ht="18" customHeight="1">
      <c r="B18" s="117" t="s">
        <v>30</v>
      </c>
      <c r="C18" s="118">
        <v>10.6</v>
      </c>
      <c r="D18" s="105"/>
      <c r="E18" s="103"/>
      <c r="F18" s="104"/>
      <c r="G18" s="110"/>
      <c r="H18" s="110"/>
      <c r="I18" s="106">
        <f t="shared" si="2"/>
        <v>0</v>
      </c>
      <c r="J18" s="122">
        <f t="shared" si="1"/>
        <v>0</v>
      </c>
      <c r="P18" s="114"/>
      <c r="Q18" s="156"/>
      <c r="R18" s="114"/>
      <c r="S18" s="115"/>
    </row>
    <row r="19" spans="2:19" s="107" customFormat="1" ht="18" customHeight="1">
      <c r="B19" s="117" t="s">
        <v>65</v>
      </c>
      <c r="C19" s="118">
        <v>11.2</v>
      </c>
      <c r="D19" s="110"/>
      <c r="E19" s="112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64</v>
      </c>
      <c r="C20" s="101">
        <v>14.2</v>
      </c>
      <c r="D20" s="102"/>
      <c r="E20" s="103"/>
      <c r="F20" s="110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78</v>
      </c>
      <c r="C21" s="101">
        <v>16.2</v>
      </c>
      <c r="D21" s="110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68</v>
      </c>
      <c r="C22" s="101">
        <v>19.9</v>
      </c>
      <c r="D22" s="105"/>
      <c r="E22" s="103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60</v>
      </c>
      <c r="C23" s="111">
        <v>23.7</v>
      </c>
      <c r="D23" s="108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62</v>
      </c>
      <c r="C24" s="101">
        <v>24.2</v>
      </c>
      <c r="D24" s="108"/>
      <c r="E24" s="112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58</v>
      </c>
      <c r="C25" s="101">
        <v>24.5</v>
      </c>
      <c r="D25" s="105"/>
      <c r="E25" s="108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69</v>
      </c>
      <c r="C26" s="101">
        <v>26.8</v>
      </c>
      <c r="D26" s="105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81</v>
      </c>
      <c r="C27" s="101">
        <v>31</v>
      </c>
      <c r="D27" s="105"/>
      <c r="E27" s="112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5500000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M1" sqref="M1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190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189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192</v>
      </c>
      <c r="C5" s="101">
        <v>17.1</v>
      </c>
      <c r="D5" s="105">
        <v>36</v>
      </c>
      <c r="E5" s="103">
        <v>35</v>
      </c>
      <c r="F5" s="104"/>
      <c r="G5" s="105">
        <v>1</v>
      </c>
      <c r="H5" s="102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63</v>
      </c>
      <c r="C6" s="111">
        <v>23.6</v>
      </c>
      <c r="D6" s="108">
        <v>36</v>
      </c>
      <c r="E6" s="103">
        <v>34</v>
      </c>
      <c r="F6" s="104"/>
      <c r="G6" s="105">
        <v>2</v>
      </c>
      <c r="H6" s="105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82</v>
      </c>
      <c r="C7" s="101">
        <v>19.8</v>
      </c>
      <c r="D7" s="105">
        <v>34</v>
      </c>
      <c r="E7" s="112">
        <v>36</v>
      </c>
      <c r="F7" s="110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70</v>
      </c>
      <c r="C8" s="101">
        <v>20.4</v>
      </c>
      <c r="D8" s="105">
        <v>34</v>
      </c>
      <c r="E8" s="103">
        <v>33</v>
      </c>
      <c r="F8" s="104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29</v>
      </c>
      <c r="C9" s="111">
        <v>7.8</v>
      </c>
      <c r="D9" s="105">
        <v>33</v>
      </c>
      <c r="E9" s="112">
        <v>36</v>
      </c>
      <c r="F9" s="110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17" t="s">
        <v>30</v>
      </c>
      <c r="C10" s="118">
        <v>10.6</v>
      </c>
      <c r="D10" s="105">
        <v>31</v>
      </c>
      <c r="E10" s="103">
        <v>33</v>
      </c>
      <c r="F10" s="104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17" t="s">
        <v>84</v>
      </c>
      <c r="C11" s="118">
        <v>33</v>
      </c>
      <c r="D11" s="108">
        <v>30</v>
      </c>
      <c r="E11" s="103">
        <v>39</v>
      </c>
      <c r="F11" s="110"/>
      <c r="G11" s="105">
        <v>7</v>
      </c>
      <c r="H11" s="105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64</v>
      </c>
      <c r="C12" s="101">
        <v>14.2</v>
      </c>
      <c r="D12" s="102">
        <v>28</v>
      </c>
      <c r="E12" s="103">
        <v>36</v>
      </c>
      <c r="F12" s="104">
        <v>6.65</v>
      </c>
      <c r="G12" s="105">
        <v>8</v>
      </c>
      <c r="H12" s="105">
        <v>1</v>
      </c>
      <c r="I12" s="106">
        <f t="shared" si="0"/>
        <v>550000</v>
      </c>
      <c r="J12" s="122">
        <f t="shared" si="1"/>
        <v>350000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60</v>
      </c>
      <c r="C13" s="111">
        <v>23.7</v>
      </c>
      <c r="D13" s="108">
        <v>28</v>
      </c>
      <c r="E13" s="103">
        <v>34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69</v>
      </c>
      <c r="C14" s="101">
        <v>26.8</v>
      </c>
      <c r="D14" s="105">
        <v>27</v>
      </c>
      <c r="E14" s="103">
        <v>39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58</v>
      </c>
      <c r="C15" s="101">
        <v>24.5</v>
      </c>
      <c r="D15" s="105">
        <v>26</v>
      </c>
      <c r="E15" s="108">
        <v>33</v>
      </c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77</v>
      </c>
      <c r="C16" s="101">
        <v>9.6</v>
      </c>
      <c r="D16" s="105">
        <v>24</v>
      </c>
      <c r="E16" s="112">
        <v>27</v>
      </c>
      <c r="F16" s="110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78</v>
      </c>
      <c r="C17" s="101">
        <v>16.2</v>
      </c>
      <c r="D17" s="110">
        <v>23</v>
      </c>
      <c r="E17" s="103">
        <v>35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59</v>
      </c>
      <c r="C18" s="101">
        <v>21.4</v>
      </c>
      <c r="D18" s="108">
        <v>22</v>
      </c>
      <c r="E18" s="112">
        <v>37</v>
      </c>
      <c r="F18" s="104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156"/>
      <c r="R18" s="114"/>
      <c r="S18" s="115"/>
    </row>
    <row r="19" spans="2:19" s="107" customFormat="1" ht="18" customHeight="1">
      <c r="B19" s="100" t="s">
        <v>79</v>
      </c>
      <c r="C19" s="101">
        <v>5.9</v>
      </c>
      <c r="D19" s="105"/>
      <c r="E19" s="112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83</v>
      </c>
      <c r="C20" s="111">
        <v>7.5</v>
      </c>
      <c r="D20" s="108"/>
      <c r="E20" s="103"/>
      <c r="F20" s="110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61</v>
      </c>
      <c r="C21" s="101">
        <v>8.6</v>
      </c>
      <c r="D21" s="105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17" t="s">
        <v>65</v>
      </c>
      <c r="C22" s="118">
        <v>11.2</v>
      </c>
      <c r="D22" s="110"/>
      <c r="E22" s="112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66</v>
      </c>
      <c r="C23" s="101">
        <v>16.9</v>
      </c>
      <c r="D23" s="105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67</v>
      </c>
      <c r="C24" s="101">
        <v>17.8</v>
      </c>
      <c r="D24" s="112"/>
      <c r="E24" s="103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80</v>
      </c>
      <c r="C25" s="101">
        <v>19.1</v>
      </c>
      <c r="D25" s="105"/>
      <c r="E25" s="103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68</v>
      </c>
      <c r="C26" s="101">
        <v>19.9</v>
      </c>
      <c r="D26" s="105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62</v>
      </c>
      <c r="C27" s="101">
        <v>24.2</v>
      </c>
      <c r="D27" s="108"/>
      <c r="E27" s="112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00" t="s">
        <v>81</v>
      </c>
      <c r="C28" s="101">
        <v>31</v>
      </c>
      <c r="D28" s="105"/>
      <c r="E28" s="112"/>
      <c r="F28" s="116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6000000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F22" sqref="F22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183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184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79</v>
      </c>
      <c r="C5" s="101">
        <v>5.9</v>
      </c>
      <c r="D5" s="105">
        <v>66</v>
      </c>
      <c r="E5" s="112"/>
      <c r="F5" s="104"/>
      <c r="G5" s="105">
        <v>1</v>
      </c>
      <c r="H5" s="102">
        <v>10</v>
      </c>
      <c r="I5" s="106">
        <f>O27+J5</f>
        <v>887500</v>
      </c>
      <c r="J5" s="122">
        <f aca="true" t="shared" si="0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82</v>
      </c>
      <c r="C6" s="101">
        <v>21.4</v>
      </c>
      <c r="D6" s="105">
        <v>66</v>
      </c>
      <c r="E6" s="103"/>
      <c r="F6" s="110"/>
      <c r="G6" s="105">
        <v>1</v>
      </c>
      <c r="H6" s="105">
        <v>10</v>
      </c>
      <c r="I6" s="106">
        <f>O27+J6</f>
        <v>887500</v>
      </c>
      <c r="J6" s="122">
        <f t="shared" si="0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58</v>
      </c>
      <c r="C7" s="101">
        <v>24.5</v>
      </c>
      <c r="D7" s="105">
        <v>66</v>
      </c>
      <c r="E7" s="112"/>
      <c r="F7" s="110"/>
      <c r="G7" s="110">
        <v>1</v>
      </c>
      <c r="H7" s="110">
        <v>10</v>
      </c>
      <c r="I7" s="106">
        <f>O27+J7</f>
        <v>887500</v>
      </c>
      <c r="J7" s="122">
        <f t="shared" si="0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17" t="s">
        <v>84</v>
      </c>
      <c r="C8" s="118">
        <v>33</v>
      </c>
      <c r="D8" s="108">
        <v>66</v>
      </c>
      <c r="E8" s="103"/>
      <c r="F8" s="104"/>
      <c r="G8" s="105">
        <v>1</v>
      </c>
      <c r="H8" s="105">
        <v>10</v>
      </c>
      <c r="I8" s="106">
        <f>O27+J8</f>
        <v>887500</v>
      </c>
      <c r="J8" s="122">
        <f t="shared" si="0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29</v>
      </c>
      <c r="C9" s="111">
        <v>7.8</v>
      </c>
      <c r="D9" s="105">
        <v>67</v>
      </c>
      <c r="E9" s="112"/>
      <c r="F9" s="110"/>
      <c r="G9" s="105">
        <v>2</v>
      </c>
      <c r="H9" s="105">
        <v>5</v>
      </c>
      <c r="I9" s="106">
        <f>O28+J9</f>
        <v>462500</v>
      </c>
      <c r="J9" s="122">
        <f t="shared" si="0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78</v>
      </c>
      <c r="C10" s="101">
        <v>16.2</v>
      </c>
      <c r="D10" s="110">
        <v>67</v>
      </c>
      <c r="E10" s="103"/>
      <c r="F10" s="104">
        <v>4.04</v>
      </c>
      <c r="G10" s="116">
        <v>2</v>
      </c>
      <c r="H10" s="116">
        <v>5</v>
      </c>
      <c r="I10" s="106">
        <f>O28+J10</f>
        <v>762500</v>
      </c>
      <c r="J10" s="122">
        <f t="shared" si="0"/>
        <v>350000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70</v>
      </c>
      <c r="C11" s="101">
        <v>21.6</v>
      </c>
      <c r="D11" s="105">
        <v>67</v>
      </c>
      <c r="E11" s="112"/>
      <c r="F11" s="104"/>
      <c r="G11" s="105">
        <v>2</v>
      </c>
      <c r="H11" s="105">
        <v>5</v>
      </c>
      <c r="I11" s="106">
        <f>O28+J11</f>
        <v>462500</v>
      </c>
      <c r="J11" s="122">
        <f t="shared" si="0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69</v>
      </c>
      <c r="C12" s="101">
        <v>26.8</v>
      </c>
      <c r="D12" s="105">
        <v>67</v>
      </c>
      <c r="E12" s="103"/>
      <c r="F12" s="104"/>
      <c r="G12" s="105">
        <v>2</v>
      </c>
      <c r="H12" s="105">
        <v>5</v>
      </c>
      <c r="I12" s="106">
        <f>O28+J12</f>
        <v>462500</v>
      </c>
      <c r="J12" s="122">
        <f t="shared" si="0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17" t="s">
        <v>30</v>
      </c>
      <c r="C13" s="118">
        <v>10.6</v>
      </c>
      <c r="D13" s="105">
        <v>72</v>
      </c>
      <c r="E13" s="103"/>
      <c r="F13" s="104"/>
      <c r="G13" s="102"/>
      <c r="H13" s="105"/>
      <c r="I13" s="106">
        <f aca="true" t="shared" si="1" ref="I13:I28">J13</f>
        <v>50000</v>
      </c>
      <c r="J13" s="122">
        <f t="shared" si="0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60</v>
      </c>
      <c r="C14" s="111">
        <v>23.7</v>
      </c>
      <c r="D14" s="108">
        <v>72</v>
      </c>
      <c r="E14" s="103"/>
      <c r="F14" s="104"/>
      <c r="G14" s="105"/>
      <c r="H14" s="105"/>
      <c r="I14" s="106">
        <f t="shared" si="1"/>
        <v>50000</v>
      </c>
      <c r="J14" s="122">
        <f t="shared" si="0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64</v>
      </c>
      <c r="C15" s="101">
        <v>14.2</v>
      </c>
      <c r="D15" s="102">
        <v>72.1</v>
      </c>
      <c r="E15" s="103"/>
      <c r="F15" s="110"/>
      <c r="G15" s="105"/>
      <c r="H15" s="105"/>
      <c r="I15" s="106">
        <f t="shared" si="1"/>
        <v>50000</v>
      </c>
      <c r="J15" s="122">
        <f t="shared" si="0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192</v>
      </c>
      <c r="C16" s="101">
        <v>18</v>
      </c>
      <c r="D16" s="105">
        <v>72.1</v>
      </c>
      <c r="E16" s="103"/>
      <c r="F16" s="104"/>
      <c r="G16" s="105"/>
      <c r="H16" s="105"/>
      <c r="I16" s="106">
        <f t="shared" si="1"/>
        <v>50000</v>
      </c>
      <c r="J16" s="122">
        <f t="shared" si="0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59</v>
      </c>
      <c r="C17" s="101">
        <v>21.4</v>
      </c>
      <c r="D17" s="108">
        <v>72.1</v>
      </c>
      <c r="E17" s="103"/>
      <c r="F17" s="104"/>
      <c r="G17" s="110"/>
      <c r="H17" s="110"/>
      <c r="I17" s="106">
        <f t="shared" si="1"/>
        <v>50000</v>
      </c>
      <c r="J17" s="122">
        <f t="shared" si="0"/>
        <v>50000</v>
      </c>
      <c r="Q17" s="156"/>
    </row>
    <row r="18" spans="2:19" s="107" customFormat="1" ht="18" customHeight="1">
      <c r="B18" s="100" t="s">
        <v>83</v>
      </c>
      <c r="C18" s="111">
        <v>7.5</v>
      </c>
      <c r="D18" s="108"/>
      <c r="E18" s="103"/>
      <c r="F18" s="104"/>
      <c r="G18" s="110"/>
      <c r="H18" s="110"/>
      <c r="I18" s="106">
        <f t="shared" si="1"/>
        <v>0</v>
      </c>
      <c r="J18" s="122">
        <f t="shared" si="0"/>
        <v>0</v>
      </c>
      <c r="P18" s="114"/>
      <c r="Q18" s="156"/>
      <c r="R18" s="114"/>
      <c r="S18" s="115"/>
    </row>
    <row r="19" spans="2:19" s="107" customFormat="1" ht="18" customHeight="1">
      <c r="B19" s="100" t="s">
        <v>61</v>
      </c>
      <c r="C19" s="101">
        <v>8.6</v>
      </c>
      <c r="D19" s="105"/>
      <c r="E19" s="112"/>
      <c r="F19" s="110"/>
      <c r="G19" s="105"/>
      <c r="H19" s="105"/>
      <c r="I19" s="106">
        <f t="shared" si="1"/>
        <v>0</v>
      </c>
      <c r="J19" s="122">
        <f t="shared" si="0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77</v>
      </c>
      <c r="C20" s="101">
        <v>9.6</v>
      </c>
      <c r="D20" s="105"/>
      <c r="E20" s="112"/>
      <c r="F20" s="104"/>
      <c r="G20" s="105"/>
      <c r="H20" s="105"/>
      <c r="I20" s="106">
        <f t="shared" si="1"/>
        <v>0</v>
      </c>
      <c r="J20" s="122">
        <f t="shared" si="0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17" t="s">
        <v>65</v>
      </c>
      <c r="C21" s="118">
        <v>11.2</v>
      </c>
      <c r="D21" s="110"/>
      <c r="E21" s="103"/>
      <c r="F21" s="104"/>
      <c r="G21" s="110"/>
      <c r="H21" s="110"/>
      <c r="I21" s="106">
        <f t="shared" si="1"/>
        <v>0</v>
      </c>
      <c r="J21" s="122">
        <f t="shared" si="0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66</v>
      </c>
      <c r="C22" s="101">
        <v>16.9</v>
      </c>
      <c r="D22" s="105"/>
      <c r="E22" s="103"/>
      <c r="F22" s="104"/>
      <c r="G22" s="110"/>
      <c r="H22" s="110"/>
      <c r="I22" s="106">
        <f t="shared" si="1"/>
        <v>0</v>
      </c>
      <c r="J22" s="122">
        <f t="shared" si="0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67</v>
      </c>
      <c r="C23" s="101">
        <v>17.8</v>
      </c>
      <c r="D23" s="112"/>
      <c r="E23" s="112"/>
      <c r="F23" s="110"/>
      <c r="G23" s="110"/>
      <c r="H23" s="110"/>
      <c r="I23" s="106">
        <f t="shared" si="1"/>
        <v>0</v>
      </c>
      <c r="J23" s="122">
        <f t="shared" si="0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80</v>
      </c>
      <c r="C24" s="101">
        <v>19.1</v>
      </c>
      <c r="D24" s="105"/>
      <c r="E24" s="108"/>
      <c r="F24" s="104"/>
      <c r="G24" s="110"/>
      <c r="H24" s="110"/>
      <c r="I24" s="106">
        <f t="shared" si="1"/>
        <v>0</v>
      </c>
      <c r="J24" s="122">
        <f t="shared" si="0"/>
        <v>0</v>
      </c>
      <c r="M24" s="120"/>
      <c r="N24" s="121"/>
      <c r="O24" s="121"/>
    </row>
    <row r="25" spans="2:15" s="4" customFormat="1" ht="18" customHeight="1">
      <c r="B25" s="100" t="s">
        <v>68</v>
      </c>
      <c r="C25" s="101">
        <v>19.9</v>
      </c>
      <c r="D25" s="105"/>
      <c r="E25" s="103"/>
      <c r="F25" s="104"/>
      <c r="G25" s="110"/>
      <c r="H25" s="110"/>
      <c r="I25" s="106">
        <f t="shared" si="1"/>
        <v>0</v>
      </c>
      <c r="J25" s="122">
        <f t="shared" si="0"/>
        <v>0</v>
      </c>
      <c r="M25" s="120"/>
      <c r="N25" s="121"/>
      <c r="O25" s="121"/>
    </row>
    <row r="26" spans="2:15" s="4" customFormat="1" ht="18" customHeight="1">
      <c r="B26" s="100" t="s">
        <v>62</v>
      </c>
      <c r="C26" s="101">
        <v>24.2</v>
      </c>
      <c r="D26" s="108"/>
      <c r="E26" s="103"/>
      <c r="F26" s="110"/>
      <c r="G26" s="110"/>
      <c r="H26" s="110"/>
      <c r="I26" s="106">
        <f t="shared" si="1"/>
        <v>0</v>
      </c>
      <c r="J26" s="122">
        <f t="shared" si="0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63</v>
      </c>
      <c r="C27" s="111">
        <v>24.8</v>
      </c>
      <c r="D27" s="108"/>
      <c r="E27" s="112"/>
      <c r="F27" s="116"/>
      <c r="G27" s="105"/>
      <c r="H27" s="105"/>
      <c r="I27" s="106">
        <f t="shared" si="1"/>
        <v>0</v>
      </c>
      <c r="J27" s="122">
        <f t="shared" si="0"/>
        <v>0</v>
      </c>
      <c r="K27" s="110">
        <v>1</v>
      </c>
      <c r="L27" s="110" t="s">
        <v>20</v>
      </c>
      <c r="M27" s="110">
        <v>10</v>
      </c>
      <c r="N27" s="106" t="s">
        <v>20</v>
      </c>
      <c r="O27" s="106">
        <f>O15*67%/4</f>
        <v>837500</v>
      </c>
    </row>
    <row r="28" spans="2:15" s="4" customFormat="1" ht="18" customHeight="1">
      <c r="B28" s="100" t="s">
        <v>81</v>
      </c>
      <c r="C28" s="101">
        <v>31</v>
      </c>
      <c r="D28" s="105"/>
      <c r="E28" s="103"/>
      <c r="F28" s="110"/>
      <c r="G28" s="105"/>
      <c r="H28" s="105"/>
      <c r="I28" s="106">
        <f t="shared" si="1"/>
        <v>0</v>
      </c>
      <c r="J28" s="122">
        <f t="shared" si="0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O15*33%/4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5950000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R14" sqref="R14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182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185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82</v>
      </c>
      <c r="C5" s="101">
        <v>21.4</v>
      </c>
      <c r="D5" s="105">
        <v>40</v>
      </c>
      <c r="E5" s="112">
        <v>28</v>
      </c>
      <c r="F5" s="104"/>
      <c r="G5" s="105">
        <v>1</v>
      </c>
      <c r="H5" s="102">
        <v>10</v>
      </c>
      <c r="I5" s="106">
        <f aca="true" t="shared" si="0" ref="I5:I12">O7+J5</f>
        <v>1675000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59</v>
      </c>
      <c r="C6" s="101">
        <v>21.4</v>
      </c>
      <c r="D6" s="108">
        <v>34</v>
      </c>
      <c r="E6" s="103">
        <v>27</v>
      </c>
      <c r="F6" s="110"/>
      <c r="G6" s="105">
        <v>2</v>
      </c>
      <c r="H6" s="105">
        <v>8</v>
      </c>
      <c r="I6" s="106">
        <f t="shared" si="0"/>
        <v>1350000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58</v>
      </c>
      <c r="C7" s="101">
        <v>24.5</v>
      </c>
      <c r="D7" s="105">
        <v>32</v>
      </c>
      <c r="E7" s="112">
        <v>32</v>
      </c>
      <c r="F7" s="110"/>
      <c r="G7" s="110">
        <v>3</v>
      </c>
      <c r="H7" s="110">
        <v>6</v>
      </c>
      <c r="I7" s="106">
        <f t="shared" si="0"/>
        <v>1025000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1625000</v>
      </c>
      <c r="Q7" s="156"/>
    </row>
    <row r="8" spans="2:19" s="107" customFormat="1" ht="18" customHeight="1">
      <c r="B8" s="100" t="s">
        <v>70</v>
      </c>
      <c r="C8" s="101">
        <v>21.6</v>
      </c>
      <c r="D8" s="105">
        <v>28</v>
      </c>
      <c r="E8" s="103">
        <v>38</v>
      </c>
      <c r="F8" s="104"/>
      <c r="G8" s="105">
        <v>4</v>
      </c>
      <c r="H8" s="105">
        <v>5</v>
      </c>
      <c r="I8" s="106">
        <f t="shared" si="0"/>
        <v>830000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1300000</v>
      </c>
      <c r="P8" s="114"/>
      <c r="Q8" s="156"/>
      <c r="R8" s="114"/>
      <c r="S8" s="115"/>
    </row>
    <row r="9" spans="2:17" s="107" customFormat="1" ht="18" customHeight="1">
      <c r="B9" s="117" t="s">
        <v>65</v>
      </c>
      <c r="C9" s="118">
        <v>11.2</v>
      </c>
      <c r="D9" s="105">
        <v>26</v>
      </c>
      <c r="E9" s="112">
        <v>40</v>
      </c>
      <c r="F9" s="110"/>
      <c r="G9" s="105">
        <v>5</v>
      </c>
      <c r="H9" s="105">
        <v>4</v>
      </c>
      <c r="I9" s="106">
        <f t="shared" si="0"/>
        <v>700000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975000</v>
      </c>
      <c r="Q9" s="156"/>
    </row>
    <row r="10" spans="2:17" s="107" customFormat="1" ht="18" customHeight="1">
      <c r="B10" s="100" t="s">
        <v>67</v>
      </c>
      <c r="C10" s="101">
        <v>17.8</v>
      </c>
      <c r="D10" s="105">
        <v>26</v>
      </c>
      <c r="E10" s="103">
        <v>34</v>
      </c>
      <c r="F10" s="104"/>
      <c r="G10" s="116">
        <v>6</v>
      </c>
      <c r="H10" s="116">
        <v>3</v>
      </c>
      <c r="I10" s="106">
        <f t="shared" si="0"/>
        <v>570000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780000</v>
      </c>
      <c r="Q10" s="156"/>
    </row>
    <row r="11" spans="2:17" s="107" customFormat="1" ht="18" customHeight="1">
      <c r="B11" s="100" t="s">
        <v>79</v>
      </c>
      <c r="C11" s="101">
        <v>5.9</v>
      </c>
      <c r="D11" s="110">
        <v>25</v>
      </c>
      <c r="E11" s="112">
        <v>33</v>
      </c>
      <c r="F11" s="104">
        <v>2.57</v>
      </c>
      <c r="G11" s="105">
        <v>7</v>
      </c>
      <c r="H11" s="105">
        <v>2</v>
      </c>
      <c r="I11" s="106">
        <f t="shared" si="0"/>
        <v>830000</v>
      </c>
      <c r="J11" s="122">
        <f t="shared" si="1"/>
        <v>440000</v>
      </c>
      <c r="K11" s="131" t="s">
        <v>12</v>
      </c>
      <c r="L11" s="132"/>
      <c r="M11" s="133"/>
      <c r="N11" s="109">
        <v>4</v>
      </c>
      <c r="O11" s="106">
        <f>O15*10%</f>
        <v>650000</v>
      </c>
      <c r="Q11" s="156"/>
    </row>
    <row r="12" spans="2:17" s="107" customFormat="1" ht="18" customHeight="1">
      <c r="B12" s="100" t="s">
        <v>64</v>
      </c>
      <c r="C12" s="101">
        <v>14.2</v>
      </c>
      <c r="D12" s="102">
        <v>25</v>
      </c>
      <c r="E12" s="103">
        <v>36</v>
      </c>
      <c r="F12" s="104"/>
      <c r="G12" s="105">
        <v>8</v>
      </c>
      <c r="H12" s="105">
        <v>1</v>
      </c>
      <c r="I12" s="106">
        <f t="shared" si="0"/>
        <v>310000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520000</v>
      </c>
      <c r="Q12" s="156"/>
    </row>
    <row r="13" spans="2:17" s="107" customFormat="1" ht="18" customHeight="1">
      <c r="B13" s="100" t="s">
        <v>192</v>
      </c>
      <c r="C13" s="101">
        <v>18</v>
      </c>
      <c r="D13" s="110">
        <v>25</v>
      </c>
      <c r="E13" s="103">
        <v>37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390000</v>
      </c>
      <c r="Q13" s="156"/>
    </row>
    <row r="14" spans="2:17" s="107" customFormat="1" ht="18" customHeight="1">
      <c r="B14" s="100" t="s">
        <v>61</v>
      </c>
      <c r="C14" s="101">
        <v>8.6</v>
      </c>
      <c r="D14" s="105">
        <v>24</v>
      </c>
      <c r="E14" s="103">
        <v>33</v>
      </c>
      <c r="F14" s="104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260000</v>
      </c>
      <c r="Q14" s="156"/>
    </row>
    <row r="15" spans="2:17" s="107" customFormat="1" ht="18" customHeight="1">
      <c r="B15" s="100" t="s">
        <v>78</v>
      </c>
      <c r="C15" s="101">
        <v>16.2</v>
      </c>
      <c r="D15" s="112">
        <v>22</v>
      </c>
      <c r="E15" s="103">
        <v>36</v>
      </c>
      <c r="F15" s="110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6500000</v>
      </c>
      <c r="Q15" s="156"/>
    </row>
    <row r="16" spans="2:17" s="107" customFormat="1" ht="18" customHeight="1">
      <c r="B16" s="117" t="s">
        <v>84</v>
      </c>
      <c r="C16" s="118">
        <v>33</v>
      </c>
      <c r="D16" s="105">
        <v>21</v>
      </c>
      <c r="E16" s="103">
        <v>44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390000</v>
      </c>
      <c r="Q16" s="156"/>
    </row>
    <row r="17" spans="2:17" s="107" customFormat="1" ht="18" customHeight="1">
      <c r="B17" s="100" t="s">
        <v>83</v>
      </c>
      <c r="C17" s="111">
        <v>7.5</v>
      </c>
      <c r="D17" s="105"/>
      <c r="E17" s="103"/>
      <c r="F17" s="104"/>
      <c r="G17" s="110"/>
      <c r="H17" s="110"/>
      <c r="I17" s="106">
        <f t="shared" si="2"/>
        <v>0</v>
      </c>
      <c r="J17" s="122">
        <f t="shared" si="1"/>
        <v>0</v>
      </c>
      <c r="Q17" s="156"/>
    </row>
    <row r="18" spans="2:19" s="107" customFormat="1" ht="18" customHeight="1">
      <c r="B18" s="100" t="s">
        <v>29</v>
      </c>
      <c r="C18" s="111">
        <v>7.8</v>
      </c>
      <c r="D18" s="105"/>
      <c r="E18" s="103"/>
      <c r="F18" s="104"/>
      <c r="G18" s="110"/>
      <c r="H18" s="110"/>
      <c r="I18" s="106">
        <f t="shared" si="2"/>
        <v>0</v>
      </c>
      <c r="J18" s="122">
        <f t="shared" si="1"/>
        <v>0</v>
      </c>
      <c r="P18" s="114"/>
      <c r="Q18" s="156"/>
      <c r="R18" s="114"/>
      <c r="S18" s="115"/>
    </row>
    <row r="19" spans="2:19" s="107" customFormat="1" ht="18" customHeight="1">
      <c r="B19" s="100" t="s">
        <v>77</v>
      </c>
      <c r="C19" s="101">
        <v>9.6</v>
      </c>
      <c r="D19" s="105"/>
      <c r="E19" s="112"/>
      <c r="F19" s="110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17" t="s">
        <v>30</v>
      </c>
      <c r="C20" s="118">
        <v>10.6</v>
      </c>
      <c r="D20" s="108"/>
      <c r="E20" s="112"/>
      <c r="F20" s="104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1300000</v>
      </c>
      <c r="P20" s="115"/>
      <c r="Q20" s="115"/>
      <c r="R20" s="115"/>
      <c r="S20" s="115"/>
    </row>
    <row r="21" spans="2:15" s="4" customFormat="1" ht="18" customHeight="1">
      <c r="B21" s="100" t="s">
        <v>66</v>
      </c>
      <c r="C21" s="101">
        <v>16.9</v>
      </c>
      <c r="D21" s="105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975000</v>
      </c>
    </row>
    <row r="22" spans="2:15" s="4" customFormat="1" ht="18" customHeight="1">
      <c r="B22" s="100" t="s">
        <v>80</v>
      </c>
      <c r="C22" s="101">
        <v>19.1</v>
      </c>
      <c r="D22" s="108"/>
      <c r="E22" s="103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650000</v>
      </c>
    </row>
    <row r="23" spans="2:15" s="4" customFormat="1" ht="18" customHeight="1">
      <c r="B23" s="100" t="s">
        <v>68</v>
      </c>
      <c r="C23" s="101">
        <v>19.9</v>
      </c>
      <c r="D23" s="108"/>
      <c r="E23" s="112"/>
      <c r="F23" s="110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325000</v>
      </c>
    </row>
    <row r="24" spans="2:15" s="4" customFormat="1" ht="18" customHeight="1">
      <c r="B24" s="100" t="s">
        <v>60</v>
      </c>
      <c r="C24" s="111">
        <v>23.7</v>
      </c>
      <c r="D24" s="105"/>
      <c r="E24" s="108"/>
      <c r="F24" s="104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62</v>
      </c>
      <c r="C25" s="101">
        <v>24.2</v>
      </c>
      <c r="D25" s="108"/>
      <c r="E25" s="103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63</v>
      </c>
      <c r="C26" s="111">
        <v>24.8</v>
      </c>
      <c r="D26" s="105"/>
      <c r="E26" s="103"/>
      <c r="F26" s="110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69</v>
      </c>
      <c r="C27" s="101">
        <v>26.8</v>
      </c>
      <c r="D27" s="105"/>
      <c r="E27" s="112"/>
      <c r="F27" s="116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1088750</v>
      </c>
    </row>
    <row r="28" spans="2:15" s="4" customFormat="1" ht="18" customHeight="1">
      <c r="B28" s="100" t="s">
        <v>81</v>
      </c>
      <c r="C28" s="101">
        <v>31</v>
      </c>
      <c r="D28" s="108"/>
      <c r="E28" s="103"/>
      <c r="F28" s="110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536250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7490000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R28" sqref="R28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180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181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83</v>
      </c>
      <c r="C5" s="111">
        <v>7.5</v>
      </c>
      <c r="D5" s="105">
        <v>34</v>
      </c>
      <c r="E5" s="103">
        <v>34</v>
      </c>
      <c r="F5" s="104"/>
      <c r="G5" s="105">
        <v>1</v>
      </c>
      <c r="H5" s="102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79</v>
      </c>
      <c r="C6" s="101">
        <v>5.9</v>
      </c>
      <c r="D6" s="110">
        <v>33</v>
      </c>
      <c r="E6" s="112">
        <v>30</v>
      </c>
      <c r="F6" s="104">
        <v>3.25</v>
      </c>
      <c r="G6" s="105">
        <v>2</v>
      </c>
      <c r="H6" s="105">
        <v>8</v>
      </c>
      <c r="I6" s="106">
        <f t="shared" si="0"/>
        <v>1350000</v>
      </c>
      <c r="J6" s="122">
        <f t="shared" si="1"/>
        <v>350000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29</v>
      </c>
      <c r="C7" s="111">
        <v>7.8</v>
      </c>
      <c r="D7" s="105">
        <v>33</v>
      </c>
      <c r="E7" s="103">
        <v>35</v>
      </c>
      <c r="F7" s="104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60</v>
      </c>
      <c r="C8" s="111">
        <v>23.7</v>
      </c>
      <c r="D8" s="105">
        <v>32</v>
      </c>
      <c r="E8" s="108">
        <v>36</v>
      </c>
      <c r="F8" s="104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64</v>
      </c>
      <c r="C9" s="101">
        <v>14.2</v>
      </c>
      <c r="D9" s="102">
        <v>30</v>
      </c>
      <c r="E9" s="103">
        <v>32</v>
      </c>
      <c r="F9" s="104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59</v>
      </c>
      <c r="C10" s="101">
        <v>21.4</v>
      </c>
      <c r="D10" s="108">
        <v>30</v>
      </c>
      <c r="E10" s="103">
        <v>36</v>
      </c>
      <c r="F10" s="110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61</v>
      </c>
      <c r="C11" s="101">
        <v>8.6</v>
      </c>
      <c r="D11" s="105">
        <v>28</v>
      </c>
      <c r="E11" s="103">
        <v>34</v>
      </c>
      <c r="F11" s="104"/>
      <c r="G11" s="105">
        <v>7</v>
      </c>
      <c r="H11" s="105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17" t="s">
        <v>30</v>
      </c>
      <c r="C12" s="118">
        <v>10.6</v>
      </c>
      <c r="D12" s="108">
        <v>28</v>
      </c>
      <c r="E12" s="112">
        <v>32</v>
      </c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192</v>
      </c>
      <c r="C13" s="101">
        <v>18</v>
      </c>
      <c r="D13" s="110">
        <v>22</v>
      </c>
      <c r="E13" s="103">
        <v>40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62</v>
      </c>
      <c r="C14" s="101">
        <v>24.2</v>
      </c>
      <c r="D14" s="108">
        <v>22</v>
      </c>
      <c r="E14" s="103">
        <v>40</v>
      </c>
      <c r="F14" s="104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77</v>
      </c>
      <c r="C15" s="101">
        <v>9.6</v>
      </c>
      <c r="D15" s="105"/>
      <c r="E15" s="112"/>
      <c r="F15" s="110"/>
      <c r="G15" s="105"/>
      <c r="H15" s="105"/>
      <c r="I15" s="106">
        <f t="shared" si="2"/>
        <v>0</v>
      </c>
      <c r="J15" s="122">
        <f t="shared" si="1"/>
        <v>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17" t="s">
        <v>65</v>
      </c>
      <c r="C16" s="118">
        <v>11.2</v>
      </c>
      <c r="D16" s="105"/>
      <c r="E16" s="112"/>
      <c r="F16" s="110"/>
      <c r="G16" s="105"/>
      <c r="H16" s="105"/>
      <c r="I16" s="106">
        <f t="shared" si="2"/>
        <v>0</v>
      </c>
      <c r="J16" s="122">
        <f t="shared" si="1"/>
        <v>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78</v>
      </c>
      <c r="C17" s="101">
        <v>16.2</v>
      </c>
      <c r="D17" s="112"/>
      <c r="E17" s="103"/>
      <c r="F17" s="110"/>
      <c r="G17" s="110"/>
      <c r="H17" s="110"/>
      <c r="I17" s="106">
        <f t="shared" si="2"/>
        <v>0</v>
      </c>
      <c r="J17" s="122">
        <f t="shared" si="1"/>
        <v>0</v>
      </c>
      <c r="Q17" s="156"/>
    </row>
    <row r="18" spans="2:19" s="107" customFormat="1" ht="18" customHeight="1">
      <c r="B18" s="100" t="s">
        <v>66</v>
      </c>
      <c r="C18" s="101">
        <v>16.9</v>
      </c>
      <c r="D18" s="105"/>
      <c r="E18" s="103"/>
      <c r="F18" s="104"/>
      <c r="G18" s="110"/>
      <c r="H18" s="110"/>
      <c r="I18" s="106">
        <f t="shared" si="2"/>
        <v>0</v>
      </c>
      <c r="J18" s="122">
        <f t="shared" si="1"/>
        <v>0</v>
      </c>
      <c r="P18" s="114"/>
      <c r="Q18" s="156"/>
      <c r="R18" s="114"/>
      <c r="S18" s="115"/>
    </row>
    <row r="19" spans="2:19" s="107" customFormat="1" ht="18" customHeight="1">
      <c r="B19" s="100" t="s">
        <v>67</v>
      </c>
      <c r="C19" s="101">
        <v>17.8</v>
      </c>
      <c r="D19" s="105"/>
      <c r="E19" s="103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80</v>
      </c>
      <c r="C20" s="101">
        <v>19.1</v>
      </c>
      <c r="D20" s="108"/>
      <c r="E20" s="103"/>
      <c r="F20" s="104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68</v>
      </c>
      <c r="C21" s="101">
        <v>19.9</v>
      </c>
      <c r="D21" s="108"/>
      <c r="E21" s="112"/>
      <c r="F21" s="110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82</v>
      </c>
      <c r="C22" s="101">
        <v>21.4</v>
      </c>
      <c r="D22" s="105"/>
      <c r="E22" s="112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70</v>
      </c>
      <c r="C23" s="101">
        <v>21.6</v>
      </c>
      <c r="D23" s="105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58</v>
      </c>
      <c r="C24" s="101">
        <v>24.5</v>
      </c>
      <c r="D24" s="105"/>
      <c r="E24" s="112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63</v>
      </c>
      <c r="C25" s="111">
        <v>24.8</v>
      </c>
      <c r="D25" s="105"/>
      <c r="E25" s="103"/>
      <c r="F25" s="110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69</v>
      </c>
      <c r="C26" s="101">
        <v>26.8</v>
      </c>
      <c r="D26" s="105"/>
      <c r="E26" s="112"/>
      <c r="F26" s="116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81</v>
      </c>
      <c r="C27" s="101">
        <v>31</v>
      </c>
      <c r="D27" s="108"/>
      <c r="E27" s="103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5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5800000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B1">
      <selection activeCell="P6" sqref="P6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174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176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60</v>
      </c>
      <c r="C5" s="111">
        <v>23.7</v>
      </c>
      <c r="D5" s="110">
        <v>31</v>
      </c>
      <c r="E5" s="112">
        <v>33</v>
      </c>
      <c r="F5" s="104"/>
      <c r="G5" s="105">
        <v>1</v>
      </c>
      <c r="H5" s="102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29</v>
      </c>
      <c r="C6" s="111">
        <v>7.8</v>
      </c>
      <c r="D6" s="105">
        <v>30</v>
      </c>
      <c r="E6" s="103">
        <v>27</v>
      </c>
      <c r="F6" s="104"/>
      <c r="G6" s="105">
        <v>2</v>
      </c>
      <c r="H6" s="105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79</v>
      </c>
      <c r="C7" s="101">
        <v>5.9</v>
      </c>
      <c r="D7" s="105">
        <v>29</v>
      </c>
      <c r="E7" s="103">
        <v>31</v>
      </c>
      <c r="F7" s="104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64</v>
      </c>
      <c r="C8" s="101">
        <v>14.2</v>
      </c>
      <c r="D8" s="105">
        <v>29</v>
      </c>
      <c r="E8" s="103">
        <v>36</v>
      </c>
      <c r="F8" s="104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82</v>
      </c>
      <c r="C9" s="101">
        <v>21.4</v>
      </c>
      <c r="D9" s="105">
        <v>29</v>
      </c>
      <c r="E9" s="112">
        <v>36</v>
      </c>
      <c r="F9" s="110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17" t="s">
        <v>30</v>
      </c>
      <c r="C10" s="118">
        <v>10.6</v>
      </c>
      <c r="D10" s="108">
        <v>27</v>
      </c>
      <c r="E10" s="112">
        <v>32</v>
      </c>
      <c r="F10" s="104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17" t="s">
        <v>65</v>
      </c>
      <c r="C11" s="118">
        <v>11.2</v>
      </c>
      <c r="D11" s="105">
        <v>27</v>
      </c>
      <c r="E11" s="112">
        <v>32</v>
      </c>
      <c r="F11" s="110"/>
      <c r="G11" s="105">
        <v>7</v>
      </c>
      <c r="H11" s="105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83</v>
      </c>
      <c r="C12" s="111">
        <v>7.5</v>
      </c>
      <c r="D12" s="102">
        <v>26</v>
      </c>
      <c r="E12" s="103">
        <v>31</v>
      </c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78</v>
      </c>
      <c r="C13" s="101">
        <v>16.2</v>
      </c>
      <c r="D13" s="112">
        <v>25</v>
      </c>
      <c r="E13" s="103">
        <v>36</v>
      </c>
      <c r="F13" s="110">
        <v>13.42</v>
      </c>
      <c r="G13" s="102"/>
      <c r="H13" s="105"/>
      <c r="I13" s="106">
        <f aca="true" t="shared" si="2" ref="I13:I28">J13</f>
        <v>350000</v>
      </c>
      <c r="J13" s="122">
        <f t="shared" si="1"/>
        <v>350000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192</v>
      </c>
      <c r="C14" s="101">
        <v>18</v>
      </c>
      <c r="D14" s="105">
        <v>22</v>
      </c>
      <c r="E14" s="103">
        <v>35</v>
      </c>
      <c r="F14" s="104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69</v>
      </c>
      <c r="C15" s="101">
        <v>26.8</v>
      </c>
      <c r="D15" s="105">
        <v>22</v>
      </c>
      <c r="E15" s="103">
        <v>40</v>
      </c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61</v>
      </c>
      <c r="C16" s="101">
        <v>8.6</v>
      </c>
      <c r="D16" s="110">
        <v>21</v>
      </c>
      <c r="E16" s="103">
        <v>35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59</v>
      </c>
      <c r="C17" s="101">
        <v>21.4</v>
      </c>
      <c r="D17" s="108">
        <v>21</v>
      </c>
      <c r="E17" s="103">
        <v>40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66</v>
      </c>
      <c r="C18" s="101">
        <v>16.9</v>
      </c>
      <c r="D18" s="108">
        <v>17</v>
      </c>
      <c r="E18" s="112">
        <v>41</v>
      </c>
      <c r="F18" s="110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156"/>
      <c r="R18" s="114"/>
      <c r="S18" s="115"/>
    </row>
    <row r="19" spans="2:19" s="107" customFormat="1" ht="18" customHeight="1">
      <c r="B19" s="100" t="s">
        <v>77</v>
      </c>
      <c r="C19" s="101">
        <v>9.6</v>
      </c>
      <c r="D19" s="105"/>
      <c r="E19" s="112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67</v>
      </c>
      <c r="C20" s="101">
        <v>17.8</v>
      </c>
      <c r="D20" s="108"/>
      <c r="E20" s="103"/>
      <c r="F20" s="110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80</v>
      </c>
      <c r="C21" s="101">
        <v>19.1</v>
      </c>
      <c r="D21" s="105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68</v>
      </c>
      <c r="C22" s="101">
        <v>19.9</v>
      </c>
      <c r="D22" s="105"/>
      <c r="E22" s="108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70</v>
      </c>
      <c r="C23" s="101">
        <v>21.6</v>
      </c>
      <c r="D23" s="108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62</v>
      </c>
      <c r="C24" s="101">
        <v>24.2</v>
      </c>
      <c r="D24" s="105"/>
      <c r="E24" s="112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58</v>
      </c>
      <c r="C25" s="101">
        <v>24.5</v>
      </c>
      <c r="D25" s="105"/>
      <c r="E25" s="103"/>
      <c r="F25" s="110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63</v>
      </c>
      <c r="C26" s="111">
        <v>24.8</v>
      </c>
      <c r="D26" s="105"/>
      <c r="E26" s="112"/>
      <c r="F26" s="116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81</v>
      </c>
      <c r="C27" s="101">
        <v>31</v>
      </c>
      <c r="D27" s="108"/>
      <c r="E27" s="103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5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6000000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A1">
      <selection activeCell="R15" sqref="R15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160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162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63</v>
      </c>
      <c r="C5" s="111">
        <v>23.6</v>
      </c>
      <c r="D5" s="105">
        <v>31</v>
      </c>
      <c r="E5" s="112">
        <v>39</v>
      </c>
      <c r="F5" s="116"/>
      <c r="G5" s="105">
        <v>1</v>
      </c>
      <c r="H5" s="102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29</v>
      </c>
      <c r="C6" s="111">
        <v>7.8</v>
      </c>
      <c r="D6" s="105">
        <v>30</v>
      </c>
      <c r="E6" s="103">
        <v>35</v>
      </c>
      <c r="F6" s="104"/>
      <c r="G6" s="105">
        <v>2</v>
      </c>
      <c r="H6" s="105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64</v>
      </c>
      <c r="C7" s="101">
        <v>14.2</v>
      </c>
      <c r="D7" s="105">
        <v>28</v>
      </c>
      <c r="E7" s="103">
        <v>35</v>
      </c>
      <c r="F7" s="104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 t="s">
        <v>163</v>
      </c>
    </row>
    <row r="8" spans="2:19" s="107" customFormat="1" ht="18" customHeight="1">
      <c r="B8" s="100" t="s">
        <v>67</v>
      </c>
      <c r="C8" s="101">
        <v>17.8</v>
      </c>
      <c r="D8" s="108">
        <v>27</v>
      </c>
      <c r="E8" s="103">
        <v>36</v>
      </c>
      <c r="F8" s="110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79</v>
      </c>
      <c r="C9" s="101">
        <v>5.8</v>
      </c>
      <c r="D9" s="105">
        <v>26</v>
      </c>
      <c r="E9" s="103">
        <v>30</v>
      </c>
      <c r="F9" s="104" t="s">
        <v>164</v>
      </c>
      <c r="G9" s="105">
        <v>5</v>
      </c>
      <c r="H9" s="105">
        <v>4</v>
      </c>
      <c r="I9" s="106">
        <f t="shared" si="0"/>
        <v>850000</v>
      </c>
      <c r="J9" s="122">
        <f t="shared" si="1"/>
        <v>350000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192</v>
      </c>
      <c r="C10" s="101">
        <v>18</v>
      </c>
      <c r="D10" s="105">
        <v>26</v>
      </c>
      <c r="E10" s="103">
        <v>39</v>
      </c>
      <c r="F10" s="104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83</v>
      </c>
      <c r="C11" s="111">
        <v>7.5</v>
      </c>
      <c r="D11" s="102">
        <v>25</v>
      </c>
      <c r="E11" s="103">
        <v>31</v>
      </c>
      <c r="F11" s="104" t="s">
        <v>167</v>
      </c>
      <c r="G11" s="105">
        <v>7</v>
      </c>
      <c r="H11" s="105">
        <v>2</v>
      </c>
      <c r="I11" s="106">
        <f t="shared" si="0"/>
        <v>650000</v>
      </c>
      <c r="J11" s="122">
        <f t="shared" si="1"/>
        <v>350000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58</v>
      </c>
      <c r="C12" s="101">
        <v>23.3</v>
      </c>
      <c r="D12" s="105">
        <v>24</v>
      </c>
      <c r="E12" s="103">
        <v>35</v>
      </c>
      <c r="F12" s="110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17" t="s">
        <v>30</v>
      </c>
      <c r="C13" s="118">
        <v>10.6</v>
      </c>
      <c r="D13" s="108">
        <v>23</v>
      </c>
      <c r="E13" s="112">
        <v>36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59</v>
      </c>
      <c r="C14" s="101">
        <v>21.4</v>
      </c>
      <c r="D14" s="108">
        <v>23</v>
      </c>
      <c r="E14" s="103">
        <v>38</v>
      </c>
      <c r="F14" s="104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60</v>
      </c>
      <c r="C15" s="111">
        <v>23.7</v>
      </c>
      <c r="D15" s="110">
        <v>23</v>
      </c>
      <c r="E15" s="112">
        <v>39</v>
      </c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61</v>
      </c>
      <c r="C16" s="101">
        <v>8.6</v>
      </c>
      <c r="D16" s="110">
        <v>22</v>
      </c>
      <c r="E16" s="103">
        <v>35</v>
      </c>
      <c r="F16" s="104" t="s">
        <v>166</v>
      </c>
      <c r="G16" s="105"/>
      <c r="H16" s="105"/>
      <c r="I16" s="106">
        <f t="shared" si="2"/>
        <v>350000</v>
      </c>
      <c r="J16" s="122">
        <f t="shared" si="1"/>
        <v>350000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66</v>
      </c>
      <c r="C17" s="101">
        <v>16.5</v>
      </c>
      <c r="D17" s="108">
        <v>20</v>
      </c>
      <c r="E17" s="112">
        <v>40</v>
      </c>
      <c r="F17" s="110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62</v>
      </c>
      <c r="C18" s="101">
        <v>24.2</v>
      </c>
      <c r="D18" s="105">
        <v>20</v>
      </c>
      <c r="E18" s="112">
        <v>42</v>
      </c>
      <c r="F18" s="110" t="s">
        <v>165</v>
      </c>
      <c r="G18" s="110"/>
      <c r="H18" s="110"/>
      <c r="I18" s="106">
        <f t="shared" si="2"/>
        <v>350000</v>
      </c>
      <c r="J18" s="122">
        <f t="shared" si="1"/>
        <v>350000</v>
      </c>
      <c r="P18" s="114"/>
      <c r="Q18" s="156"/>
      <c r="R18" s="114"/>
      <c r="S18" s="115"/>
    </row>
    <row r="19" spans="2:19" s="107" customFormat="1" ht="18" customHeight="1">
      <c r="B19" s="100" t="s">
        <v>69</v>
      </c>
      <c r="C19" s="101">
        <v>26.8</v>
      </c>
      <c r="D19" s="105">
        <v>20</v>
      </c>
      <c r="E19" s="103">
        <v>41</v>
      </c>
      <c r="F19" s="104"/>
      <c r="G19" s="105"/>
      <c r="H19" s="105"/>
      <c r="I19" s="106">
        <f t="shared" si="2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77</v>
      </c>
      <c r="C20" s="101">
        <v>9.6</v>
      </c>
      <c r="D20" s="105"/>
      <c r="E20" s="112"/>
      <c r="F20" s="104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17" t="s">
        <v>65</v>
      </c>
      <c r="C21" s="118">
        <v>10.7</v>
      </c>
      <c r="D21" s="105"/>
      <c r="E21" s="112"/>
      <c r="F21" s="110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78</v>
      </c>
      <c r="C22" s="101">
        <v>16.1</v>
      </c>
      <c r="D22" s="112"/>
      <c r="E22" s="103"/>
      <c r="F22" s="110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80</v>
      </c>
      <c r="C23" s="101">
        <v>19.1</v>
      </c>
      <c r="D23" s="105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68</v>
      </c>
      <c r="C24" s="101">
        <v>19.9</v>
      </c>
      <c r="D24" s="105"/>
      <c r="E24" s="108"/>
      <c r="F24" s="104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82</v>
      </c>
      <c r="C25" s="101">
        <v>21.3</v>
      </c>
      <c r="D25" s="105"/>
      <c r="E25" s="112"/>
      <c r="F25" s="110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70</v>
      </c>
      <c r="C26" s="101">
        <v>21.6</v>
      </c>
      <c r="D26" s="108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81</v>
      </c>
      <c r="C27" s="101">
        <v>31</v>
      </c>
      <c r="D27" s="108"/>
      <c r="E27" s="103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5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6950000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A1">
      <selection activeCell="U6" sqref="U6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68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160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161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169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77" t="s">
        <v>61</v>
      </c>
      <c r="C5" s="101">
        <v>8.6</v>
      </c>
      <c r="D5" s="170">
        <v>30.1</v>
      </c>
      <c r="E5" s="103"/>
      <c r="F5" s="104"/>
      <c r="G5" s="105">
        <v>1</v>
      </c>
      <c r="H5" s="102">
        <v>10</v>
      </c>
      <c r="I5" s="106">
        <v>1050000</v>
      </c>
      <c r="J5" s="122">
        <f aca="true" t="shared" si="0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77" t="s">
        <v>64</v>
      </c>
      <c r="C6" s="101">
        <v>14.2</v>
      </c>
      <c r="D6" s="108">
        <v>30.1</v>
      </c>
      <c r="E6" s="103"/>
      <c r="F6" s="104"/>
      <c r="G6" s="105">
        <v>1</v>
      </c>
      <c r="H6" s="105">
        <v>10</v>
      </c>
      <c r="I6" s="106">
        <v>1050000</v>
      </c>
      <c r="J6" s="122">
        <f t="shared" si="0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83</v>
      </c>
      <c r="C7" s="111">
        <v>7.9</v>
      </c>
      <c r="D7" s="103">
        <v>30</v>
      </c>
      <c r="E7" s="103"/>
      <c r="F7" s="104"/>
      <c r="G7" s="110">
        <v>2</v>
      </c>
      <c r="H7" s="110">
        <v>6</v>
      </c>
      <c r="I7" s="106">
        <v>800000</v>
      </c>
      <c r="J7" s="122">
        <f t="shared" si="0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69</v>
      </c>
      <c r="C8" s="101">
        <v>26.8</v>
      </c>
      <c r="D8" s="108">
        <v>30</v>
      </c>
      <c r="E8" s="103"/>
      <c r="F8" s="104"/>
      <c r="G8" s="105">
        <v>2</v>
      </c>
      <c r="H8" s="105">
        <v>6</v>
      </c>
      <c r="I8" s="106">
        <v>800000</v>
      </c>
      <c r="J8" s="122">
        <f t="shared" si="0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78" t="s">
        <v>30</v>
      </c>
      <c r="C9" s="118">
        <v>10.6</v>
      </c>
      <c r="D9" s="108">
        <v>28</v>
      </c>
      <c r="E9" s="112"/>
      <c r="F9" s="104"/>
      <c r="G9" s="105">
        <v>3</v>
      </c>
      <c r="H9" s="105">
        <v>4</v>
      </c>
      <c r="I9" s="106">
        <f>O11+J9</f>
        <v>550000</v>
      </c>
      <c r="J9" s="122">
        <f t="shared" si="0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77" t="s">
        <v>58</v>
      </c>
      <c r="C10" s="101">
        <v>24.5</v>
      </c>
      <c r="D10" s="108">
        <v>28</v>
      </c>
      <c r="E10" s="112"/>
      <c r="F10" s="104"/>
      <c r="G10" s="116">
        <v>3</v>
      </c>
      <c r="H10" s="116">
        <v>4</v>
      </c>
      <c r="I10" s="106">
        <v>550000</v>
      </c>
      <c r="J10" s="122">
        <f t="shared" si="0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29</v>
      </c>
      <c r="C11" s="111">
        <v>7.8</v>
      </c>
      <c r="D11" s="108">
        <v>25</v>
      </c>
      <c r="E11" s="112"/>
      <c r="F11" s="110"/>
      <c r="G11" s="105">
        <v>4</v>
      </c>
      <c r="H11" s="105">
        <v>2</v>
      </c>
      <c r="I11" s="106">
        <v>300000</v>
      </c>
      <c r="J11" s="122">
        <f t="shared" si="0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63</v>
      </c>
      <c r="C12" s="111">
        <v>24.8</v>
      </c>
      <c r="D12" s="108">
        <v>25</v>
      </c>
      <c r="E12" s="103"/>
      <c r="F12" s="104"/>
      <c r="G12" s="105">
        <v>4</v>
      </c>
      <c r="H12" s="105">
        <v>2</v>
      </c>
      <c r="I12" s="106">
        <v>300000</v>
      </c>
      <c r="J12" s="122">
        <f t="shared" si="0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77" t="s">
        <v>67</v>
      </c>
      <c r="C13" s="101">
        <v>17.8</v>
      </c>
      <c r="D13" s="108">
        <v>24.1</v>
      </c>
      <c r="E13" s="103"/>
      <c r="F13" s="110"/>
      <c r="G13" s="102"/>
      <c r="H13" s="105"/>
      <c r="I13" s="106">
        <f aca="true" t="shared" si="1" ref="I13:I28">J13</f>
        <v>50000</v>
      </c>
      <c r="J13" s="122">
        <f t="shared" si="0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77" t="s">
        <v>192</v>
      </c>
      <c r="C14" s="101">
        <v>18</v>
      </c>
      <c r="D14" s="108">
        <v>24.1</v>
      </c>
      <c r="E14" s="112"/>
      <c r="F14" s="110"/>
      <c r="G14" s="105"/>
      <c r="H14" s="105"/>
      <c r="I14" s="106">
        <f t="shared" si="1"/>
        <v>50000</v>
      </c>
      <c r="J14" s="122">
        <f t="shared" si="0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59</v>
      </c>
      <c r="C15" s="101">
        <v>21.4</v>
      </c>
      <c r="D15" s="108">
        <v>24</v>
      </c>
      <c r="E15" s="103"/>
      <c r="F15" s="110"/>
      <c r="G15" s="105"/>
      <c r="H15" s="105"/>
      <c r="I15" s="106">
        <f t="shared" si="1"/>
        <v>50000</v>
      </c>
      <c r="J15" s="122">
        <f t="shared" si="0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60</v>
      </c>
      <c r="C16" s="111">
        <v>23.7</v>
      </c>
      <c r="D16" s="170">
        <v>24</v>
      </c>
      <c r="E16" s="103"/>
      <c r="F16" s="104"/>
      <c r="G16" s="105"/>
      <c r="H16" s="105"/>
      <c r="I16" s="106">
        <f t="shared" si="1"/>
        <v>50000</v>
      </c>
      <c r="J16" s="122">
        <f t="shared" si="0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77" t="s">
        <v>66</v>
      </c>
      <c r="C17" s="101">
        <v>16.5</v>
      </c>
      <c r="D17" s="108">
        <v>22</v>
      </c>
      <c r="E17" s="103"/>
      <c r="F17" s="104"/>
      <c r="G17" s="110"/>
      <c r="H17" s="110"/>
      <c r="I17" s="106">
        <f t="shared" si="1"/>
        <v>50000</v>
      </c>
      <c r="J17" s="122">
        <f t="shared" si="0"/>
        <v>50000</v>
      </c>
      <c r="Q17" s="156"/>
    </row>
    <row r="18" spans="2:19" s="107" customFormat="1" ht="18" customHeight="1">
      <c r="B18" s="177" t="s">
        <v>62</v>
      </c>
      <c r="C18" s="101">
        <v>24.2</v>
      </c>
      <c r="D18" s="108">
        <v>22</v>
      </c>
      <c r="E18" s="108"/>
      <c r="F18" s="104"/>
      <c r="G18" s="110"/>
      <c r="H18" s="110"/>
      <c r="I18" s="106">
        <f t="shared" si="1"/>
        <v>50000</v>
      </c>
      <c r="J18" s="122">
        <f t="shared" si="0"/>
        <v>50000</v>
      </c>
      <c r="P18" s="114"/>
      <c r="Q18" s="156"/>
      <c r="R18" s="114"/>
      <c r="S18" s="115"/>
    </row>
    <row r="19" spans="2:19" s="107" customFormat="1" ht="18" customHeight="1">
      <c r="B19" s="100" t="s">
        <v>79</v>
      </c>
      <c r="C19" s="101">
        <v>5.8</v>
      </c>
      <c r="D19" s="108">
        <v>21</v>
      </c>
      <c r="E19" s="112"/>
      <c r="F19" s="110"/>
      <c r="G19" s="105"/>
      <c r="H19" s="105"/>
      <c r="I19" s="106">
        <f t="shared" si="1"/>
        <v>50000</v>
      </c>
      <c r="J19" s="122">
        <f t="shared" si="0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17" t="s">
        <v>84</v>
      </c>
      <c r="C20" s="118">
        <v>33</v>
      </c>
      <c r="D20" s="108">
        <v>21</v>
      </c>
      <c r="E20" s="103"/>
      <c r="F20" s="104"/>
      <c r="G20" s="105"/>
      <c r="H20" s="105"/>
      <c r="I20" s="106">
        <f t="shared" si="1"/>
        <v>50000</v>
      </c>
      <c r="J20" s="122">
        <f t="shared" si="0"/>
        <v>50000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77" t="s">
        <v>78</v>
      </c>
      <c r="C21" s="101">
        <v>16.1</v>
      </c>
      <c r="D21" s="108">
        <v>19</v>
      </c>
      <c r="E21" s="103"/>
      <c r="F21" s="104"/>
      <c r="G21" s="110"/>
      <c r="H21" s="110"/>
      <c r="I21" s="106">
        <f t="shared" si="1"/>
        <v>50000</v>
      </c>
      <c r="J21" s="122">
        <f t="shared" si="0"/>
        <v>50000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77" t="s">
        <v>80</v>
      </c>
      <c r="C22" s="101">
        <v>19.1</v>
      </c>
      <c r="D22" s="108">
        <v>19</v>
      </c>
      <c r="E22" s="112"/>
      <c r="F22" s="104"/>
      <c r="G22" s="110"/>
      <c r="H22" s="110"/>
      <c r="I22" s="106">
        <f t="shared" si="1"/>
        <v>50000</v>
      </c>
      <c r="J22" s="122">
        <f t="shared" si="0"/>
        <v>50000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77</v>
      </c>
      <c r="C23" s="101">
        <v>9.6</v>
      </c>
      <c r="D23" s="108"/>
      <c r="E23" s="112"/>
      <c r="F23" s="110"/>
      <c r="G23" s="110"/>
      <c r="H23" s="110"/>
      <c r="I23" s="106">
        <f t="shared" si="1"/>
        <v>0</v>
      </c>
      <c r="J23" s="122">
        <f t="shared" si="0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17" t="s">
        <v>65</v>
      </c>
      <c r="C24" s="118">
        <v>10.7</v>
      </c>
      <c r="D24" s="108"/>
      <c r="E24" s="103"/>
      <c r="F24" s="110"/>
      <c r="G24" s="110"/>
      <c r="H24" s="110"/>
      <c r="I24" s="106">
        <f t="shared" si="1"/>
        <v>0</v>
      </c>
      <c r="J24" s="122">
        <f t="shared" si="0"/>
        <v>0</v>
      </c>
      <c r="M24" s="120"/>
      <c r="N24" s="121"/>
      <c r="O24" s="121"/>
    </row>
    <row r="25" spans="2:15" s="4" customFormat="1" ht="18" customHeight="1">
      <c r="B25" s="100" t="s">
        <v>68</v>
      </c>
      <c r="C25" s="101">
        <v>19.9</v>
      </c>
      <c r="D25" s="108"/>
      <c r="E25" s="112"/>
      <c r="F25" s="116"/>
      <c r="G25" s="110"/>
      <c r="H25" s="110"/>
      <c r="I25" s="106">
        <f t="shared" si="1"/>
        <v>0</v>
      </c>
      <c r="J25" s="122">
        <f t="shared" si="0"/>
        <v>0</v>
      </c>
      <c r="M25" s="120"/>
      <c r="N25" s="121"/>
      <c r="O25" s="121"/>
    </row>
    <row r="26" spans="2:15" s="4" customFormat="1" ht="18" customHeight="1">
      <c r="B26" s="100" t="s">
        <v>82</v>
      </c>
      <c r="C26" s="101">
        <v>21.3</v>
      </c>
      <c r="D26" s="108"/>
      <c r="E26" s="103"/>
      <c r="F26" s="104"/>
      <c r="G26" s="110"/>
      <c r="H26" s="110"/>
      <c r="I26" s="106">
        <f t="shared" si="1"/>
        <v>0</v>
      </c>
      <c r="J26" s="122">
        <f t="shared" si="0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70</v>
      </c>
      <c r="C27" s="101">
        <v>21.6</v>
      </c>
      <c r="D27" s="108"/>
      <c r="E27" s="103"/>
      <c r="F27" s="110"/>
      <c r="G27" s="105"/>
      <c r="H27" s="105"/>
      <c r="I27" s="106">
        <f t="shared" si="1"/>
        <v>0</v>
      </c>
      <c r="J27" s="122">
        <f t="shared" si="0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00" t="s">
        <v>81</v>
      </c>
      <c r="C28" s="101">
        <v>31</v>
      </c>
      <c r="D28" s="108"/>
      <c r="E28" s="103"/>
      <c r="F28" s="104"/>
      <c r="G28" s="105"/>
      <c r="H28" s="105"/>
      <c r="I28" s="106">
        <f t="shared" si="1"/>
        <v>0</v>
      </c>
      <c r="J28" s="122">
        <f t="shared" si="0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5900000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158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157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58</v>
      </c>
      <c r="C5" s="101">
        <v>24.5</v>
      </c>
      <c r="D5" s="105">
        <v>39</v>
      </c>
      <c r="E5" s="103">
        <v>32</v>
      </c>
      <c r="F5" s="104"/>
      <c r="G5" s="105">
        <v>1</v>
      </c>
      <c r="H5" s="102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63</v>
      </c>
      <c r="C6" s="111">
        <v>24.8</v>
      </c>
      <c r="D6" s="105">
        <v>39</v>
      </c>
      <c r="E6" s="103">
        <v>32</v>
      </c>
      <c r="F6" s="104"/>
      <c r="G6" s="105">
        <v>2</v>
      </c>
      <c r="H6" s="105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59</v>
      </c>
      <c r="C7" s="101">
        <v>21.4</v>
      </c>
      <c r="D7" s="102">
        <v>35</v>
      </c>
      <c r="E7" s="103">
        <v>34</v>
      </c>
      <c r="F7" s="104">
        <v>5.86</v>
      </c>
      <c r="G7" s="110">
        <v>3</v>
      </c>
      <c r="H7" s="110">
        <v>6</v>
      </c>
      <c r="I7" s="106">
        <f t="shared" si="0"/>
        <v>1100000</v>
      </c>
      <c r="J7" s="122">
        <f t="shared" si="1"/>
        <v>350000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70</v>
      </c>
      <c r="C8" s="101">
        <v>21.6</v>
      </c>
      <c r="D8" s="110">
        <v>34</v>
      </c>
      <c r="E8" s="103">
        <v>34</v>
      </c>
      <c r="F8" s="104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17" t="s">
        <v>30</v>
      </c>
      <c r="C9" s="118">
        <v>10.6</v>
      </c>
      <c r="D9" s="105">
        <v>30</v>
      </c>
      <c r="E9" s="112">
        <v>32</v>
      </c>
      <c r="F9" s="104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29</v>
      </c>
      <c r="C10" s="111">
        <v>7.8</v>
      </c>
      <c r="D10" s="108">
        <v>28</v>
      </c>
      <c r="E10" s="112">
        <v>36</v>
      </c>
      <c r="F10" s="104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82</v>
      </c>
      <c r="C11" s="101">
        <v>21.3</v>
      </c>
      <c r="D11" s="105">
        <v>26</v>
      </c>
      <c r="E11" s="112">
        <v>36</v>
      </c>
      <c r="F11" s="110"/>
      <c r="G11" s="105">
        <v>7</v>
      </c>
      <c r="H11" s="105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78</v>
      </c>
      <c r="C12" s="101">
        <v>16.1</v>
      </c>
      <c r="D12" s="105">
        <v>25</v>
      </c>
      <c r="E12" s="103">
        <v>31</v>
      </c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62</v>
      </c>
      <c r="C13" s="101">
        <v>24.2</v>
      </c>
      <c r="D13" s="112">
        <v>24</v>
      </c>
      <c r="E13" s="103">
        <v>41</v>
      </c>
      <c r="F13" s="110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61</v>
      </c>
      <c r="C14" s="101">
        <v>8.6</v>
      </c>
      <c r="D14" s="108">
        <v>23</v>
      </c>
      <c r="E14" s="112">
        <v>37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79</v>
      </c>
      <c r="C15" s="101">
        <v>5.8</v>
      </c>
      <c r="D15" s="108">
        <v>22</v>
      </c>
      <c r="E15" s="103">
        <v>36</v>
      </c>
      <c r="F15" s="110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80</v>
      </c>
      <c r="C16" s="101">
        <v>19.1</v>
      </c>
      <c r="D16" s="105">
        <v>19</v>
      </c>
      <c r="E16" s="103">
        <v>38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83</v>
      </c>
      <c r="C17" s="111">
        <v>7.9</v>
      </c>
      <c r="D17" s="105"/>
      <c r="E17" s="103"/>
      <c r="F17" s="104"/>
      <c r="G17" s="110"/>
      <c r="H17" s="110"/>
      <c r="I17" s="106">
        <f t="shared" si="2"/>
        <v>0</v>
      </c>
      <c r="J17" s="122">
        <f t="shared" si="1"/>
        <v>0</v>
      </c>
      <c r="Q17" s="156"/>
    </row>
    <row r="18" spans="2:19" s="107" customFormat="1" ht="18" customHeight="1">
      <c r="B18" s="100" t="s">
        <v>77</v>
      </c>
      <c r="C18" s="101">
        <v>9.6</v>
      </c>
      <c r="D18" s="105"/>
      <c r="E18" s="108"/>
      <c r="F18" s="104"/>
      <c r="G18" s="110"/>
      <c r="H18" s="110"/>
      <c r="I18" s="106">
        <f t="shared" si="2"/>
        <v>0</v>
      </c>
      <c r="J18" s="122">
        <f t="shared" si="1"/>
        <v>0</v>
      </c>
      <c r="P18" s="114"/>
      <c r="Q18" s="156"/>
      <c r="R18" s="114"/>
      <c r="S18" s="115"/>
    </row>
    <row r="19" spans="2:19" s="107" customFormat="1" ht="18" customHeight="1">
      <c r="B19" s="117" t="s">
        <v>65</v>
      </c>
      <c r="C19" s="118">
        <v>10.7</v>
      </c>
      <c r="D19" s="105"/>
      <c r="E19" s="112"/>
      <c r="F19" s="110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64</v>
      </c>
      <c r="C20" s="101">
        <v>14.2</v>
      </c>
      <c r="D20" s="108"/>
      <c r="E20" s="103"/>
      <c r="F20" s="104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66</v>
      </c>
      <c r="C21" s="101">
        <v>16.5</v>
      </c>
      <c r="D21" s="108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67</v>
      </c>
      <c r="C22" s="101">
        <v>17.8</v>
      </c>
      <c r="D22" s="110"/>
      <c r="E22" s="112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192</v>
      </c>
      <c r="C23" s="101">
        <v>18</v>
      </c>
      <c r="D23" s="105"/>
      <c r="E23" s="112"/>
      <c r="F23" s="110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68</v>
      </c>
      <c r="C24" s="101">
        <v>19.9</v>
      </c>
      <c r="D24" s="105"/>
      <c r="E24" s="103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60</v>
      </c>
      <c r="C25" s="111">
        <v>23.7</v>
      </c>
      <c r="D25" s="105"/>
      <c r="E25" s="112"/>
      <c r="F25" s="116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69</v>
      </c>
      <c r="C26" s="101">
        <v>26.8</v>
      </c>
      <c r="D26" s="105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81</v>
      </c>
      <c r="C27" s="101">
        <v>31</v>
      </c>
      <c r="D27" s="108"/>
      <c r="E27" s="103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5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5900000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M30"/>
  <sheetViews>
    <sheetView zoomScale="85" zoomScaleNormal="85" zoomScalePageLayoutView="0" workbookViewId="0" topLeftCell="B1">
      <selection activeCell="E20" sqref="E20"/>
    </sheetView>
  </sheetViews>
  <sheetFormatPr defaultColWidth="9.140625" defaultRowHeight="12.75"/>
  <cols>
    <col min="1" max="1" width="4.00390625" style="29" hidden="1" customWidth="1"/>
    <col min="2" max="2" width="14.7109375" style="29" customWidth="1"/>
    <col min="3" max="3" width="10.140625" style="41" customWidth="1"/>
    <col min="4" max="4" width="4.00390625" style="41" customWidth="1"/>
    <col min="5" max="34" width="3.8515625" style="41" customWidth="1"/>
    <col min="35" max="35" width="3.8515625" style="41" bestFit="1" customWidth="1"/>
    <col min="36" max="36" width="3.8515625" style="37" customWidth="1"/>
    <col min="37" max="37" width="4.8515625" style="37" customWidth="1"/>
    <col min="38" max="38" width="5.57421875" style="37" customWidth="1"/>
    <col min="39" max="65" width="3.28125" style="37" customWidth="1"/>
    <col min="66" max="73" width="4.7109375" style="29" customWidth="1"/>
    <col min="74" max="16384" width="9.140625" style="29" customWidth="1"/>
  </cols>
  <sheetData>
    <row r="1" spans="3:65" ht="24.75" customHeight="1">
      <c r="C1" s="42" t="s">
        <v>118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2:38" s="30" customFormat="1" ht="66.75" customHeight="1">
      <c r="B2" s="31"/>
      <c r="C2" s="38" t="s">
        <v>28</v>
      </c>
      <c r="D2" s="32" t="s">
        <v>117</v>
      </c>
      <c r="E2" s="32" t="s">
        <v>115</v>
      </c>
      <c r="F2" s="32" t="s">
        <v>114</v>
      </c>
      <c r="G2" s="32" t="s">
        <v>113</v>
      </c>
      <c r="H2" s="32" t="s">
        <v>112</v>
      </c>
      <c r="I2" s="32" t="s">
        <v>111</v>
      </c>
      <c r="J2" s="32" t="s">
        <v>110</v>
      </c>
      <c r="K2" s="32" t="s">
        <v>109</v>
      </c>
      <c r="L2" s="32" t="s">
        <v>108</v>
      </c>
      <c r="M2" s="32" t="s">
        <v>107</v>
      </c>
      <c r="N2" s="32" t="s">
        <v>106</v>
      </c>
      <c r="O2" s="32" t="s">
        <v>105</v>
      </c>
      <c r="P2" s="32" t="s">
        <v>104</v>
      </c>
      <c r="Q2" s="32" t="s">
        <v>103</v>
      </c>
      <c r="R2" s="32" t="s">
        <v>102</v>
      </c>
      <c r="S2" s="32" t="s">
        <v>101</v>
      </c>
      <c r="T2" s="32" t="s">
        <v>100</v>
      </c>
      <c r="U2" s="32" t="s">
        <v>99</v>
      </c>
      <c r="V2" s="32" t="s">
        <v>98</v>
      </c>
      <c r="W2" s="32" t="s">
        <v>97</v>
      </c>
      <c r="X2" s="32" t="s">
        <v>178</v>
      </c>
      <c r="Y2" s="32" t="s">
        <v>96</v>
      </c>
      <c r="Z2" s="32" t="s">
        <v>95</v>
      </c>
      <c r="AA2" s="32" t="s">
        <v>94</v>
      </c>
      <c r="AB2" s="32" t="s">
        <v>93</v>
      </c>
      <c r="AC2" s="32" t="s">
        <v>92</v>
      </c>
      <c r="AD2" s="32" t="s">
        <v>91</v>
      </c>
      <c r="AE2" s="32" t="s">
        <v>90</v>
      </c>
      <c r="AF2" s="32" t="s">
        <v>89</v>
      </c>
      <c r="AG2" s="32" t="s">
        <v>88</v>
      </c>
      <c r="AH2" s="32" t="s">
        <v>87</v>
      </c>
      <c r="AI2" s="32" t="s">
        <v>86</v>
      </c>
      <c r="AJ2" s="32" t="s">
        <v>85</v>
      </c>
      <c r="AK2" s="32" t="s">
        <v>50</v>
      </c>
      <c r="AL2" s="32" t="s">
        <v>51</v>
      </c>
    </row>
    <row r="3" spans="2:65" ht="15">
      <c r="B3" s="85" t="s">
        <v>30</v>
      </c>
      <c r="C3" s="137">
        <f>SUM(D3:AJ3)</f>
        <v>142</v>
      </c>
      <c r="D3" s="88">
        <v>4</v>
      </c>
      <c r="E3" s="88">
        <v>10</v>
      </c>
      <c r="F3" s="88">
        <v>10</v>
      </c>
      <c r="G3" s="88">
        <v>6</v>
      </c>
      <c r="H3" s="88">
        <v>10</v>
      </c>
      <c r="I3" s="88">
        <v>8</v>
      </c>
      <c r="J3" s="88">
        <v>10</v>
      </c>
      <c r="K3" s="88">
        <v>10</v>
      </c>
      <c r="L3" s="88"/>
      <c r="M3" s="88"/>
      <c r="N3" s="88">
        <v>4</v>
      </c>
      <c r="O3" s="88">
        <v>10</v>
      </c>
      <c r="P3" s="88">
        <v>10</v>
      </c>
      <c r="Q3" s="88"/>
      <c r="R3" s="88"/>
      <c r="S3" s="88"/>
      <c r="T3" s="206" t="s">
        <v>250</v>
      </c>
      <c r="U3" s="88"/>
      <c r="V3" s="88"/>
      <c r="W3" s="206" t="s">
        <v>236</v>
      </c>
      <c r="X3" s="88">
        <v>3</v>
      </c>
      <c r="Y3" s="88"/>
      <c r="Z3" s="88">
        <v>4</v>
      </c>
      <c r="AA3" s="88">
        <v>4</v>
      </c>
      <c r="AB3" s="88"/>
      <c r="AC3" s="88">
        <v>8</v>
      </c>
      <c r="AD3" s="88">
        <v>5</v>
      </c>
      <c r="AE3" s="88">
        <v>8</v>
      </c>
      <c r="AF3" s="88">
        <v>8</v>
      </c>
      <c r="AG3" s="88"/>
      <c r="AH3" s="88"/>
      <c r="AI3" s="88">
        <v>10</v>
      </c>
      <c r="AJ3" s="229" t="s">
        <v>222</v>
      </c>
      <c r="AK3" s="223">
        <f>COUNTIF(E3:AJ3,"&gt;0")</f>
        <v>18</v>
      </c>
      <c r="AL3" s="226">
        <f>SMALL(D3:AJ3,1)</f>
        <v>3</v>
      </c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2:64" s="33" customFormat="1" ht="15">
      <c r="B4" s="83" t="s">
        <v>29</v>
      </c>
      <c r="C4" s="137">
        <f>SUM(D4:AJ4)</f>
        <v>128</v>
      </c>
      <c r="D4" s="90">
        <v>6</v>
      </c>
      <c r="E4" s="90">
        <v>5</v>
      </c>
      <c r="F4" s="90">
        <v>6</v>
      </c>
      <c r="G4" s="90">
        <v>4</v>
      </c>
      <c r="H4" s="90">
        <v>8</v>
      </c>
      <c r="I4" s="90"/>
      <c r="J4" s="90">
        <v>8</v>
      </c>
      <c r="K4" s="207" t="s">
        <v>250</v>
      </c>
      <c r="L4" s="90">
        <v>5</v>
      </c>
      <c r="M4" s="90">
        <v>10</v>
      </c>
      <c r="N4" s="90"/>
      <c r="O4" s="90"/>
      <c r="P4" s="90"/>
      <c r="Q4" s="90">
        <v>10</v>
      </c>
      <c r="R4" s="90">
        <v>6</v>
      </c>
      <c r="S4" s="207" t="s">
        <v>222</v>
      </c>
      <c r="T4" s="90">
        <v>4</v>
      </c>
      <c r="U4" s="90">
        <v>5</v>
      </c>
      <c r="V4" s="90"/>
      <c r="W4" s="90">
        <v>6</v>
      </c>
      <c r="X4" s="90">
        <v>8</v>
      </c>
      <c r="Y4" s="90">
        <v>8</v>
      </c>
      <c r="Z4" s="207" t="s">
        <v>222</v>
      </c>
      <c r="AA4" s="207" t="s">
        <v>250</v>
      </c>
      <c r="AB4" s="207" t="s">
        <v>222</v>
      </c>
      <c r="AC4" s="207" t="s">
        <v>222</v>
      </c>
      <c r="AD4" s="90"/>
      <c r="AE4" s="90">
        <v>10</v>
      </c>
      <c r="AF4" s="90"/>
      <c r="AG4" s="90"/>
      <c r="AH4" s="90">
        <v>8</v>
      </c>
      <c r="AI4" s="90">
        <v>5</v>
      </c>
      <c r="AJ4" s="212">
        <v>6</v>
      </c>
      <c r="AK4" s="224">
        <f>COUNTIF(E4:AJ4,"&gt;0")</f>
        <v>18</v>
      </c>
      <c r="AL4" s="227">
        <f>SMALL(D4:AJ4,1)</f>
        <v>4</v>
      </c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2:65" ht="15">
      <c r="B5" s="83" t="s">
        <v>124</v>
      </c>
      <c r="C5" s="137">
        <f>SUM(D5:AJ5)</f>
        <v>97</v>
      </c>
      <c r="D5" s="90"/>
      <c r="E5" s="90">
        <v>4</v>
      </c>
      <c r="F5" s="90"/>
      <c r="G5" s="90"/>
      <c r="H5" s="90"/>
      <c r="I5" s="90"/>
      <c r="J5" s="90"/>
      <c r="K5" s="90"/>
      <c r="L5" s="90"/>
      <c r="M5" s="90"/>
      <c r="N5" s="90">
        <v>10</v>
      </c>
      <c r="O5" s="90">
        <v>6</v>
      </c>
      <c r="P5" s="90">
        <v>4</v>
      </c>
      <c r="Q5" s="90"/>
      <c r="R5" s="90">
        <v>8</v>
      </c>
      <c r="S5" s="90">
        <v>3</v>
      </c>
      <c r="T5" s="90">
        <v>6</v>
      </c>
      <c r="U5" s="90">
        <v>10</v>
      </c>
      <c r="V5" s="90">
        <v>10</v>
      </c>
      <c r="W5" s="90"/>
      <c r="X5" s="90">
        <v>4</v>
      </c>
      <c r="Y5" s="90"/>
      <c r="Z5" s="90"/>
      <c r="AA5" s="90">
        <v>2</v>
      </c>
      <c r="AB5" s="90">
        <v>10</v>
      </c>
      <c r="AC5" s="90">
        <v>10</v>
      </c>
      <c r="AD5" s="90">
        <v>10</v>
      </c>
      <c r="AE5" s="90"/>
      <c r="AF5" s="90"/>
      <c r="AG5" s="90"/>
      <c r="AH5" s="90"/>
      <c r="AI5" s="90"/>
      <c r="AJ5" s="212"/>
      <c r="AK5" s="224">
        <f>COUNTIF(E5:AJ5,"&gt;0")</f>
        <v>14</v>
      </c>
      <c r="AL5" s="227">
        <f>SMALL(D5:AJ5,1)</f>
        <v>2</v>
      </c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2:65" ht="15">
      <c r="B6" s="83" t="s">
        <v>127</v>
      </c>
      <c r="C6" s="137">
        <f>SUM(D6:AJ6)</f>
        <v>93</v>
      </c>
      <c r="D6" s="90"/>
      <c r="E6" s="90">
        <v>3</v>
      </c>
      <c r="F6" s="90"/>
      <c r="G6" s="90"/>
      <c r="H6" s="90">
        <v>5</v>
      </c>
      <c r="I6" s="90">
        <v>3</v>
      </c>
      <c r="J6" s="90">
        <v>5</v>
      </c>
      <c r="K6" s="90"/>
      <c r="L6" s="90"/>
      <c r="M6" s="90"/>
      <c r="N6" s="90">
        <v>3</v>
      </c>
      <c r="O6" s="90"/>
      <c r="P6" s="90">
        <v>6</v>
      </c>
      <c r="Q6" s="90">
        <v>8</v>
      </c>
      <c r="R6" s="90">
        <v>10</v>
      </c>
      <c r="S6" s="90">
        <v>5</v>
      </c>
      <c r="T6" s="90"/>
      <c r="U6" s="90">
        <v>10</v>
      </c>
      <c r="V6" s="90">
        <v>2</v>
      </c>
      <c r="W6" s="90">
        <v>8</v>
      </c>
      <c r="X6" s="90">
        <v>6</v>
      </c>
      <c r="Y6" s="90">
        <v>4</v>
      </c>
      <c r="Z6" s="90"/>
      <c r="AA6" s="90"/>
      <c r="AB6" s="90"/>
      <c r="AC6" s="90">
        <v>5</v>
      </c>
      <c r="AD6" s="90"/>
      <c r="AE6" s="90"/>
      <c r="AF6" s="90"/>
      <c r="AG6" s="90">
        <v>10</v>
      </c>
      <c r="AH6" s="90"/>
      <c r="AI6" s="90"/>
      <c r="AJ6" s="212"/>
      <c r="AK6" s="224">
        <f>COUNTIF(E6:AJ6,"&gt;0")</f>
        <v>16</v>
      </c>
      <c r="AL6" s="227">
        <f>SMALL(D6:AJ6,1)</f>
        <v>2</v>
      </c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</row>
    <row r="7" spans="2:65" ht="15">
      <c r="B7" s="83" t="s">
        <v>59</v>
      </c>
      <c r="C7" s="137">
        <f>SUM(D7:AJ7)</f>
        <v>93</v>
      </c>
      <c r="D7" s="90"/>
      <c r="E7" s="90">
        <v>8</v>
      </c>
      <c r="F7" s="90"/>
      <c r="G7" s="90">
        <v>8</v>
      </c>
      <c r="H7" s="90">
        <v>3</v>
      </c>
      <c r="I7" s="207" t="s">
        <v>236</v>
      </c>
      <c r="J7" s="207" t="s">
        <v>236</v>
      </c>
      <c r="K7" s="90">
        <v>8</v>
      </c>
      <c r="L7" s="90">
        <v>6</v>
      </c>
      <c r="M7" s="90"/>
      <c r="N7" s="90"/>
      <c r="O7" s="90">
        <v>4</v>
      </c>
      <c r="P7" s="90">
        <v>5</v>
      </c>
      <c r="Q7" s="90">
        <v>5</v>
      </c>
      <c r="R7" s="90"/>
      <c r="S7" s="207" t="s">
        <v>236</v>
      </c>
      <c r="T7" s="90"/>
      <c r="U7" s="90"/>
      <c r="V7" s="90">
        <v>8</v>
      </c>
      <c r="W7" s="90">
        <v>3</v>
      </c>
      <c r="X7" s="90"/>
      <c r="Y7" s="90"/>
      <c r="Z7" s="90"/>
      <c r="AA7" s="90">
        <v>6</v>
      </c>
      <c r="AB7" s="90"/>
      <c r="AC7" s="90">
        <v>4</v>
      </c>
      <c r="AD7" s="90">
        <v>2</v>
      </c>
      <c r="AE7" s="90">
        <v>2</v>
      </c>
      <c r="AF7" s="90">
        <v>6</v>
      </c>
      <c r="AG7" s="90">
        <v>6</v>
      </c>
      <c r="AH7" s="90"/>
      <c r="AI7" s="90">
        <v>4</v>
      </c>
      <c r="AJ7" s="212">
        <v>5</v>
      </c>
      <c r="AK7" s="224">
        <f>COUNTIF(E7:AJ7,"&gt;0")</f>
        <v>18</v>
      </c>
      <c r="AL7" s="227">
        <f>SMALL(D7:AJ7,1)</f>
        <v>2</v>
      </c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</row>
    <row r="8" spans="2:65" ht="15">
      <c r="B8" s="85" t="s">
        <v>121</v>
      </c>
      <c r="C8" s="137">
        <f>SUM(D8:AJ8)</f>
        <v>76</v>
      </c>
      <c r="D8" s="90"/>
      <c r="E8" s="90">
        <v>6</v>
      </c>
      <c r="F8" s="90">
        <v>5</v>
      </c>
      <c r="G8" s="90">
        <v>3</v>
      </c>
      <c r="H8" s="90"/>
      <c r="I8" s="90"/>
      <c r="J8" s="90">
        <v>3</v>
      </c>
      <c r="K8" s="90">
        <v>5</v>
      </c>
      <c r="L8" s="90">
        <v>10</v>
      </c>
      <c r="M8" s="90">
        <v>5</v>
      </c>
      <c r="N8" s="90">
        <v>5</v>
      </c>
      <c r="O8" s="90"/>
      <c r="P8" s="90"/>
      <c r="Q8" s="90">
        <v>1</v>
      </c>
      <c r="R8" s="90">
        <v>4</v>
      </c>
      <c r="S8" s="90"/>
      <c r="T8" s="90"/>
      <c r="U8" s="90"/>
      <c r="V8" s="90"/>
      <c r="W8" s="90">
        <v>2</v>
      </c>
      <c r="X8" s="90"/>
      <c r="Y8" s="90"/>
      <c r="Z8" s="90">
        <v>10</v>
      </c>
      <c r="AA8" s="90"/>
      <c r="AB8" s="90"/>
      <c r="AC8" s="90"/>
      <c r="AD8" s="90"/>
      <c r="AE8" s="90">
        <v>1</v>
      </c>
      <c r="AF8" s="90">
        <v>2</v>
      </c>
      <c r="AG8" s="90"/>
      <c r="AH8" s="90">
        <v>6</v>
      </c>
      <c r="AI8" s="90"/>
      <c r="AJ8" s="212">
        <v>8</v>
      </c>
      <c r="AK8" s="224">
        <f>COUNTIF(E8:AJ8,"&gt;0")</f>
        <v>16</v>
      </c>
      <c r="AL8" s="227">
        <f>SMALL(D8:AJ8,1)</f>
        <v>1</v>
      </c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</row>
    <row r="9" spans="2:65" ht="15">
      <c r="B9" s="83" t="s">
        <v>63</v>
      </c>
      <c r="C9" s="137">
        <f>SUM(D9:AJ9)</f>
        <v>71</v>
      </c>
      <c r="D9" s="90"/>
      <c r="E9" s="90"/>
      <c r="F9" s="90"/>
      <c r="G9" s="90">
        <v>1</v>
      </c>
      <c r="H9" s="90"/>
      <c r="I9" s="90"/>
      <c r="J9" s="90"/>
      <c r="K9" s="90"/>
      <c r="L9" s="90">
        <v>8</v>
      </c>
      <c r="M9" s="90">
        <v>10</v>
      </c>
      <c r="N9" s="90"/>
      <c r="O9" s="90"/>
      <c r="P9" s="90"/>
      <c r="Q9" s="90"/>
      <c r="R9" s="90"/>
      <c r="S9" s="90">
        <v>6</v>
      </c>
      <c r="T9" s="90">
        <v>8</v>
      </c>
      <c r="U9" s="90"/>
      <c r="V9" s="90"/>
      <c r="W9" s="90"/>
      <c r="X9" s="90"/>
      <c r="Y9" s="90">
        <v>10</v>
      </c>
      <c r="Z9" s="90">
        <v>2</v>
      </c>
      <c r="AA9" s="90">
        <v>8</v>
      </c>
      <c r="AB9" s="90">
        <v>3</v>
      </c>
      <c r="AC9" s="90"/>
      <c r="AD9" s="90"/>
      <c r="AE9" s="90"/>
      <c r="AF9" s="90"/>
      <c r="AG9" s="90">
        <v>4</v>
      </c>
      <c r="AH9" s="90">
        <v>10</v>
      </c>
      <c r="AI9" s="90"/>
      <c r="AJ9" s="212">
        <v>1</v>
      </c>
      <c r="AK9" s="224">
        <f>COUNTIF(E9:AJ9,"&gt;0")</f>
        <v>12</v>
      </c>
      <c r="AL9" s="227">
        <f>SMALL(D9:AJ9,1)</f>
        <v>1</v>
      </c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</row>
    <row r="10" spans="2:65" ht="15">
      <c r="B10" s="85" t="s">
        <v>122</v>
      </c>
      <c r="C10" s="137">
        <f>SUM(D10:AJ10)</f>
        <v>68</v>
      </c>
      <c r="D10" s="90">
        <v>2</v>
      </c>
      <c r="E10" s="90"/>
      <c r="F10" s="90">
        <v>8</v>
      </c>
      <c r="G10" s="90">
        <v>10</v>
      </c>
      <c r="H10" s="90">
        <v>2</v>
      </c>
      <c r="I10" s="90">
        <v>4</v>
      </c>
      <c r="J10" s="90"/>
      <c r="K10" s="90"/>
      <c r="L10" s="90">
        <v>2</v>
      </c>
      <c r="M10" s="90">
        <v>5</v>
      </c>
      <c r="N10" s="90"/>
      <c r="O10" s="90">
        <v>10</v>
      </c>
      <c r="P10" s="90"/>
      <c r="Q10" s="90"/>
      <c r="R10" s="90"/>
      <c r="S10" s="90"/>
      <c r="T10" s="90"/>
      <c r="U10" s="90"/>
      <c r="V10" s="90"/>
      <c r="W10" s="90">
        <v>5</v>
      </c>
      <c r="X10" s="90">
        <v>10</v>
      </c>
      <c r="Y10" s="90"/>
      <c r="Z10" s="90"/>
      <c r="AA10" s="90"/>
      <c r="AB10" s="90"/>
      <c r="AC10" s="90"/>
      <c r="AD10" s="90"/>
      <c r="AE10" s="90"/>
      <c r="AF10" s="90"/>
      <c r="AG10" s="90"/>
      <c r="AH10" s="90">
        <v>3</v>
      </c>
      <c r="AI10" s="90">
        <v>3</v>
      </c>
      <c r="AJ10" s="212">
        <v>4</v>
      </c>
      <c r="AK10" s="224">
        <f>COUNTIF(E10:AJ10,"&gt;0")</f>
        <v>12</v>
      </c>
      <c r="AL10" s="227">
        <f>SMALL(D10:AJ10,1)</f>
        <v>2</v>
      </c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</row>
    <row r="11" spans="2:64" s="35" customFormat="1" ht="15">
      <c r="B11" s="83" t="s">
        <v>123</v>
      </c>
      <c r="C11" s="137">
        <f>SUM(D11:AJ11)</f>
        <v>67</v>
      </c>
      <c r="D11" s="90"/>
      <c r="E11" s="90"/>
      <c r="F11" s="90">
        <v>2</v>
      </c>
      <c r="G11" s="90"/>
      <c r="H11" s="90">
        <v>4</v>
      </c>
      <c r="I11" s="90"/>
      <c r="J11" s="90"/>
      <c r="K11" s="90"/>
      <c r="L11" s="90">
        <v>4</v>
      </c>
      <c r="M11" s="90"/>
      <c r="N11" s="90">
        <v>8</v>
      </c>
      <c r="O11" s="90"/>
      <c r="P11" s="90">
        <v>8</v>
      </c>
      <c r="Q11" s="90"/>
      <c r="R11" s="90"/>
      <c r="S11" s="90"/>
      <c r="T11" s="90">
        <v>1</v>
      </c>
      <c r="U11" s="90"/>
      <c r="V11" s="90">
        <v>1</v>
      </c>
      <c r="W11" s="90">
        <v>4</v>
      </c>
      <c r="X11" s="90">
        <v>5</v>
      </c>
      <c r="Y11" s="90">
        <v>6</v>
      </c>
      <c r="Z11" s="90">
        <v>10</v>
      </c>
      <c r="AA11" s="90"/>
      <c r="AB11" s="90"/>
      <c r="AC11" s="90"/>
      <c r="AD11" s="90">
        <v>1</v>
      </c>
      <c r="AE11" s="90"/>
      <c r="AF11" s="90">
        <v>3</v>
      </c>
      <c r="AG11" s="90">
        <v>8</v>
      </c>
      <c r="AH11" s="90"/>
      <c r="AI11" s="90">
        <v>2</v>
      </c>
      <c r="AJ11" s="212"/>
      <c r="AK11" s="224">
        <f>COUNTIF(E11:AJ11,"&gt;0")</f>
        <v>15</v>
      </c>
      <c r="AL11" s="227">
        <f>SMALL(D11:AJ11,1)</f>
        <v>1</v>
      </c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2:65" ht="15">
      <c r="B12" s="83" t="s">
        <v>58</v>
      </c>
      <c r="C12" s="137">
        <f>SUM(D12:AJ12)</f>
        <v>62</v>
      </c>
      <c r="D12" s="90"/>
      <c r="E12" s="90"/>
      <c r="F12" s="90">
        <v>3</v>
      </c>
      <c r="G12" s="90"/>
      <c r="H12" s="90"/>
      <c r="I12" s="90"/>
      <c r="J12" s="90"/>
      <c r="K12" s="90"/>
      <c r="L12" s="90">
        <v>3</v>
      </c>
      <c r="M12" s="90"/>
      <c r="N12" s="90">
        <v>6</v>
      </c>
      <c r="O12" s="90"/>
      <c r="P12" s="90"/>
      <c r="Q12" s="90"/>
      <c r="R12" s="90"/>
      <c r="S12" s="90"/>
      <c r="T12" s="90"/>
      <c r="U12" s="90">
        <v>10</v>
      </c>
      <c r="V12" s="90">
        <v>6</v>
      </c>
      <c r="W12" s="90"/>
      <c r="X12" s="90"/>
      <c r="Y12" s="90">
        <v>1</v>
      </c>
      <c r="Z12" s="90">
        <v>4</v>
      </c>
      <c r="AA12" s="90">
        <v>10</v>
      </c>
      <c r="AB12" s="90"/>
      <c r="AC12" s="90"/>
      <c r="AD12" s="90"/>
      <c r="AE12" s="90"/>
      <c r="AF12" s="90"/>
      <c r="AG12" s="90">
        <v>3</v>
      </c>
      <c r="AH12" s="90"/>
      <c r="AI12" s="90">
        <v>6</v>
      </c>
      <c r="AJ12" s="212">
        <v>10</v>
      </c>
      <c r="AK12" s="224">
        <f>COUNTIF(E12:AJ12,"&gt;0")</f>
        <v>11</v>
      </c>
      <c r="AL12" s="227">
        <f>SMALL(D12:AJ12,1)</f>
        <v>1</v>
      </c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</row>
    <row r="13" spans="2:65" ht="15">
      <c r="B13" s="83" t="s">
        <v>193</v>
      </c>
      <c r="C13" s="137">
        <f>SUM(D13:AJ13)</f>
        <v>60</v>
      </c>
      <c r="D13" s="90"/>
      <c r="E13" s="90"/>
      <c r="F13" s="90">
        <v>4</v>
      </c>
      <c r="G13" s="90"/>
      <c r="H13" s="90"/>
      <c r="I13" s="90">
        <v>2</v>
      </c>
      <c r="J13" s="90">
        <v>4</v>
      </c>
      <c r="K13" s="90"/>
      <c r="L13" s="90"/>
      <c r="M13" s="90">
        <v>10</v>
      </c>
      <c r="N13" s="90"/>
      <c r="O13" s="90"/>
      <c r="P13" s="90">
        <v>3</v>
      </c>
      <c r="Q13" s="90">
        <v>6</v>
      </c>
      <c r="R13" s="90">
        <v>2</v>
      </c>
      <c r="S13" s="90"/>
      <c r="T13" s="90">
        <v>10</v>
      </c>
      <c r="U13" s="90"/>
      <c r="V13" s="90"/>
      <c r="W13" s="90"/>
      <c r="X13" s="90"/>
      <c r="Y13" s="90">
        <v>3</v>
      </c>
      <c r="Z13" s="90"/>
      <c r="AA13" s="90"/>
      <c r="AB13" s="90">
        <v>5</v>
      </c>
      <c r="AC13" s="90">
        <v>6</v>
      </c>
      <c r="AD13" s="90"/>
      <c r="AE13" s="90"/>
      <c r="AF13" s="90"/>
      <c r="AG13" s="90">
        <v>5</v>
      </c>
      <c r="AH13" s="90"/>
      <c r="AI13" s="90"/>
      <c r="AJ13" s="212"/>
      <c r="AK13" s="224">
        <f>COUNTIF(E13:AJ13,"&gt;0")</f>
        <v>12</v>
      </c>
      <c r="AL13" s="227">
        <f>SMALL(D13:AJ13,1)</f>
        <v>2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</row>
    <row r="14" spans="2:38" s="35" customFormat="1" ht="15">
      <c r="B14" s="83" t="s">
        <v>70</v>
      </c>
      <c r="C14" s="137">
        <f>SUM(D14:AJ14)</f>
        <v>58</v>
      </c>
      <c r="D14" s="90"/>
      <c r="E14" s="90"/>
      <c r="F14" s="90"/>
      <c r="G14" s="90">
        <v>5</v>
      </c>
      <c r="H14" s="90"/>
      <c r="I14" s="90">
        <v>6</v>
      </c>
      <c r="J14" s="90"/>
      <c r="K14" s="90"/>
      <c r="L14" s="90"/>
      <c r="M14" s="90">
        <v>5</v>
      </c>
      <c r="N14" s="90"/>
      <c r="O14" s="90"/>
      <c r="P14" s="90"/>
      <c r="Q14" s="90"/>
      <c r="R14" s="90"/>
      <c r="S14" s="90">
        <v>10</v>
      </c>
      <c r="T14" s="90">
        <v>5</v>
      </c>
      <c r="U14" s="90">
        <v>5</v>
      </c>
      <c r="V14" s="90">
        <v>5</v>
      </c>
      <c r="W14" s="90"/>
      <c r="X14" s="90"/>
      <c r="Y14" s="90"/>
      <c r="Z14" s="90"/>
      <c r="AA14" s="90">
        <v>5</v>
      </c>
      <c r="AB14" s="90">
        <v>4</v>
      </c>
      <c r="AC14" s="90"/>
      <c r="AD14" s="90">
        <v>8</v>
      </c>
      <c r="AE14" s="90"/>
      <c r="AF14" s="90"/>
      <c r="AG14" s="90"/>
      <c r="AH14" s="90"/>
      <c r="AI14" s="90"/>
      <c r="AJ14" s="212"/>
      <c r="AK14" s="224">
        <f>COUNTIF(E14:AJ14,"&gt;0")</f>
        <v>10</v>
      </c>
      <c r="AL14" s="227">
        <f>SMALL(D14:AJ14,1)</f>
        <v>4</v>
      </c>
    </row>
    <row r="15" spans="2:65" ht="15">
      <c r="B15" s="83" t="s">
        <v>126</v>
      </c>
      <c r="C15" s="137">
        <f>SUM(D15:AJ15)</f>
        <v>47</v>
      </c>
      <c r="D15" s="90"/>
      <c r="E15" s="90">
        <v>2</v>
      </c>
      <c r="F15" s="90">
        <v>1</v>
      </c>
      <c r="G15" s="90"/>
      <c r="H15" s="90">
        <v>1</v>
      </c>
      <c r="I15" s="90">
        <v>5</v>
      </c>
      <c r="J15" s="90"/>
      <c r="K15" s="90">
        <v>6</v>
      </c>
      <c r="L15" s="90"/>
      <c r="M15" s="90"/>
      <c r="N15" s="90"/>
      <c r="O15" s="90"/>
      <c r="P15" s="90"/>
      <c r="Q15" s="90"/>
      <c r="R15" s="90"/>
      <c r="S15" s="90"/>
      <c r="T15" s="90"/>
      <c r="U15" s="90">
        <v>5</v>
      </c>
      <c r="V15" s="90"/>
      <c r="W15" s="90"/>
      <c r="X15" s="90"/>
      <c r="Y15" s="90"/>
      <c r="Z15" s="90"/>
      <c r="AA15" s="90">
        <v>1</v>
      </c>
      <c r="AB15" s="90">
        <v>6</v>
      </c>
      <c r="AC15" s="90">
        <v>1</v>
      </c>
      <c r="AD15" s="90">
        <v>6</v>
      </c>
      <c r="AE15" s="90"/>
      <c r="AF15" s="90">
        <v>1</v>
      </c>
      <c r="AG15" s="90"/>
      <c r="AH15" s="90">
        <v>4</v>
      </c>
      <c r="AI15" s="90">
        <v>8</v>
      </c>
      <c r="AJ15" s="212"/>
      <c r="AK15" s="224">
        <f>COUNTIF(E15:AJ15,"&gt;0")</f>
        <v>13</v>
      </c>
      <c r="AL15" s="227">
        <f>SMALL(D15:AJ15,1)</f>
        <v>1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</row>
    <row r="16" spans="2:65" ht="15">
      <c r="B16" s="85" t="s">
        <v>67</v>
      </c>
      <c r="C16" s="137">
        <f>SUM(D16:AJ16)</f>
        <v>39</v>
      </c>
      <c r="D16" s="90"/>
      <c r="E16" s="90">
        <v>1</v>
      </c>
      <c r="F16" s="90"/>
      <c r="G16" s="90"/>
      <c r="H16" s="90"/>
      <c r="I16" s="90"/>
      <c r="J16" s="90">
        <v>2</v>
      </c>
      <c r="K16" s="90"/>
      <c r="L16" s="90"/>
      <c r="M16" s="90"/>
      <c r="N16" s="90"/>
      <c r="O16" s="90">
        <v>6</v>
      </c>
      <c r="P16" s="90">
        <v>2</v>
      </c>
      <c r="Q16" s="90"/>
      <c r="R16" s="90"/>
      <c r="S16" s="90">
        <v>4</v>
      </c>
      <c r="T16" s="90"/>
      <c r="U16" s="90"/>
      <c r="V16" s="90">
        <v>3</v>
      </c>
      <c r="W16" s="90"/>
      <c r="X16" s="90"/>
      <c r="Y16" s="90">
        <v>5</v>
      </c>
      <c r="Z16" s="90"/>
      <c r="AA16" s="90"/>
      <c r="AB16" s="90">
        <v>1</v>
      </c>
      <c r="AC16" s="90">
        <v>3</v>
      </c>
      <c r="AD16" s="90"/>
      <c r="AE16" s="90"/>
      <c r="AF16" s="90">
        <v>10</v>
      </c>
      <c r="AG16" s="90">
        <v>1</v>
      </c>
      <c r="AH16" s="90">
        <v>1</v>
      </c>
      <c r="AI16" s="90"/>
      <c r="AJ16" s="212"/>
      <c r="AK16" s="224">
        <f>COUNTIF(E16:AJ16,"&gt;0")</f>
        <v>12</v>
      </c>
      <c r="AL16" s="227">
        <f>SMALL(D16:AJ16,1)</f>
        <v>1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</row>
    <row r="17" spans="2:65" ht="15">
      <c r="B17" s="83" t="s">
        <v>65</v>
      </c>
      <c r="C17" s="137">
        <f>SUM(D17:AJ17)</f>
        <v>32</v>
      </c>
      <c r="D17" s="90"/>
      <c r="E17" s="90"/>
      <c r="F17" s="90"/>
      <c r="G17" s="90">
        <v>2</v>
      </c>
      <c r="H17" s="90">
        <v>6</v>
      </c>
      <c r="I17" s="90"/>
      <c r="J17" s="90">
        <v>6</v>
      </c>
      <c r="K17" s="90">
        <v>2</v>
      </c>
      <c r="L17" s="90"/>
      <c r="M17" s="90"/>
      <c r="N17" s="90"/>
      <c r="O17" s="90"/>
      <c r="P17" s="90"/>
      <c r="Q17" s="90">
        <v>4</v>
      </c>
      <c r="R17" s="90"/>
      <c r="S17" s="90"/>
      <c r="T17" s="90"/>
      <c r="U17" s="90"/>
      <c r="V17" s="90">
        <v>4</v>
      </c>
      <c r="W17" s="90"/>
      <c r="X17" s="90">
        <v>2</v>
      </c>
      <c r="Y17" s="90"/>
      <c r="Z17" s="90"/>
      <c r="AA17" s="90"/>
      <c r="AB17" s="90"/>
      <c r="AC17" s="90"/>
      <c r="AD17" s="90">
        <v>3</v>
      </c>
      <c r="AE17" s="90"/>
      <c r="AF17" s="90"/>
      <c r="AG17" s="90"/>
      <c r="AH17" s="90">
        <v>2</v>
      </c>
      <c r="AI17" s="90">
        <v>1</v>
      </c>
      <c r="AJ17" s="212"/>
      <c r="AK17" s="224">
        <f>COUNTIF(E17:AJ17,"&gt;0")</f>
        <v>10</v>
      </c>
      <c r="AL17" s="227">
        <f>SMALL(D17:AJ17,1)</f>
        <v>1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</row>
    <row r="18" spans="2:65" ht="15">
      <c r="B18" s="83" t="s">
        <v>62</v>
      </c>
      <c r="C18" s="137">
        <f>SUM(D18:AJ18)</f>
        <v>29</v>
      </c>
      <c r="D18" s="90"/>
      <c r="E18" s="90"/>
      <c r="F18" s="90"/>
      <c r="G18" s="90"/>
      <c r="H18" s="90"/>
      <c r="I18" s="90">
        <v>10</v>
      </c>
      <c r="J18" s="90"/>
      <c r="K18" s="90">
        <v>1</v>
      </c>
      <c r="L18" s="90"/>
      <c r="M18" s="90"/>
      <c r="N18" s="90"/>
      <c r="O18" s="90"/>
      <c r="P18" s="90"/>
      <c r="Q18" s="90"/>
      <c r="R18" s="90">
        <v>1</v>
      </c>
      <c r="S18" s="90"/>
      <c r="T18" s="90"/>
      <c r="U18" s="90"/>
      <c r="V18" s="90"/>
      <c r="W18" s="90"/>
      <c r="X18" s="90"/>
      <c r="Y18" s="90"/>
      <c r="Z18" s="90"/>
      <c r="AA18" s="90"/>
      <c r="AB18" s="90">
        <v>8</v>
      </c>
      <c r="AC18" s="90"/>
      <c r="AD18" s="90">
        <v>2</v>
      </c>
      <c r="AE18" s="90"/>
      <c r="AF18" s="90">
        <v>4</v>
      </c>
      <c r="AG18" s="90"/>
      <c r="AH18" s="90"/>
      <c r="AI18" s="90"/>
      <c r="AJ18" s="212">
        <v>3</v>
      </c>
      <c r="AK18" s="224">
        <f>COUNTIF(E18:AJ18,"&gt;0")</f>
        <v>7</v>
      </c>
      <c r="AL18" s="227">
        <f>SMALL(D18:AJ18,1)</f>
        <v>1</v>
      </c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2:65" ht="15">
      <c r="B19" s="85" t="s">
        <v>83</v>
      </c>
      <c r="C19" s="137">
        <f>SUM(D19:AJ19)</f>
        <v>24</v>
      </c>
      <c r="D19" s="90">
        <v>2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>
        <v>10</v>
      </c>
      <c r="X19" s="90">
        <v>1</v>
      </c>
      <c r="Y19" s="90">
        <v>2</v>
      </c>
      <c r="Z19" s="90">
        <v>6</v>
      </c>
      <c r="AA19" s="90"/>
      <c r="AB19" s="90"/>
      <c r="AC19" s="90"/>
      <c r="AD19" s="90"/>
      <c r="AE19" s="90">
        <v>3</v>
      </c>
      <c r="AF19" s="90"/>
      <c r="AG19" s="90"/>
      <c r="AH19" s="90"/>
      <c r="AI19" s="90"/>
      <c r="AJ19" s="212"/>
      <c r="AK19" s="224">
        <f>COUNTIF(E19:AJ19,"&gt;0")</f>
        <v>5</v>
      </c>
      <c r="AL19" s="227">
        <f>SMALL(D19:AJ19,1)</f>
        <v>1</v>
      </c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</row>
    <row r="20" spans="2:65" ht="15">
      <c r="B20" s="83" t="s">
        <v>81</v>
      </c>
      <c r="C20" s="137">
        <f>SUM(D20:AJ20)</f>
        <v>22</v>
      </c>
      <c r="D20" s="90"/>
      <c r="E20" s="90"/>
      <c r="F20" s="90"/>
      <c r="G20" s="90"/>
      <c r="H20" s="90"/>
      <c r="I20" s="90"/>
      <c r="J20" s="90"/>
      <c r="K20" s="90"/>
      <c r="L20" s="90">
        <v>1</v>
      </c>
      <c r="M20" s="90"/>
      <c r="N20" s="90">
        <v>1</v>
      </c>
      <c r="O20" s="90">
        <v>4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4</v>
      </c>
      <c r="AF20" s="90">
        <v>5</v>
      </c>
      <c r="AG20" s="90">
        <v>2</v>
      </c>
      <c r="AH20" s="90">
        <v>5</v>
      </c>
      <c r="AI20" s="90"/>
      <c r="AJ20" s="212"/>
      <c r="AK20" s="224">
        <f>COUNTIF(E20:AJ20,"&gt;0")</f>
        <v>7</v>
      </c>
      <c r="AL20" s="227">
        <f>SMALL(D20:AJ20,1)</f>
        <v>1</v>
      </c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2:65" ht="15">
      <c r="B21" s="83" t="s">
        <v>84</v>
      </c>
      <c r="C21" s="137">
        <f>SUM(D21:AJ21)</f>
        <v>17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>
        <v>2</v>
      </c>
      <c r="U21" s="90">
        <v>10</v>
      </c>
      <c r="V21" s="90"/>
      <c r="W21" s="90"/>
      <c r="X21" s="90"/>
      <c r="Y21" s="90"/>
      <c r="Z21" s="90"/>
      <c r="AA21" s="90"/>
      <c r="AB21" s="90"/>
      <c r="AC21" s="90"/>
      <c r="AD21" s="90"/>
      <c r="AE21" s="90">
        <v>5</v>
      </c>
      <c r="AF21" s="90"/>
      <c r="AG21" s="90"/>
      <c r="AH21" s="90"/>
      <c r="AI21" s="90"/>
      <c r="AJ21" s="212"/>
      <c r="AK21" s="224">
        <f>COUNTIF(E21:AJ21,"&gt;0")</f>
        <v>3</v>
      </c>
      <c r="AL21" s="227">
        <f>SMALL(D21:AJ21,1)</f>
        <v>2</v>
      </c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2:65" ht="15">
      <c r="B22" s="85" t="s">
        <v>69</v>
      </c>
      <c r="C22" s="137">
        <f>SUM(D22:AJ22)</f>
        <v>15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>
        <v>2</v>
      </c>
      <c r="O22" s="90"/>
      <c r="P22" s="90"/>
      <c r="Q22" s="90">
        <v>2</v>
      </c>
      <c r="R22" s="90"/>
      <c r="S22" s="90"/>
      <c r="T22" s="90"/>
      <c r="U22" s="90">
        <v>5</v>
      </c>
      <c r="V22" s="90"/>
      <c r="W22" s="90"/>
      <c r="X22" s="90"/>
      <c r="Y22" s="90"/>
      <c r="Z22" s="90">
        <v>6</v>
      </c>
      <c r="AA22" s="90"/>
      <c r="AB22" s="90"/>
      <c r="AC22" s="90"/>
      <c r="AD22" s="90"/>
      <c r="AE22" s="90"/>
      <c r="AF22" s="90"/>
      <c r="AG22" s="90"/>
      <c r="AH22" s="90"/>
      <c r="AI22" s="90"/>
      <c r="AJ22" s="212"/>
      <c r="AK22" s="224">
        <f>COUNTIF(E22:AJ22,"&gt;0")</f>
        <v>4</v>
      </c>
      <c r="AL22" s="227">
        <f>SMALL(D22:AJ22,1)</f>
        <v>2</v>
      </c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2:65" ht="15">
      <c r="B23" s="83" t="s">
        <v>66</v>
      </c>
      <c r="C23" s="137">
        <f>SUM(D23:AJ23)</f>
        <v>13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>
        <v>5</v>
      </c>
      <c r="S23" s="90">
        <v>8</v>
      </c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212"/>
      <c r="AK23" s="224">
        <f>COUNTIF(E23:AJ23,"&gt;0")</f>
        <v>2</v>
      </c>
      <c r="AL23" s="227">
        <f>SMALL(D23:AJ23,1)</f>
        <v>5</v>
      </c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2:65" ht="15">
      <c r="B24" s="83" t="s">
        <v>80</v>
      </c>
      <c r="C24" s="137">
        <f>SUM(D24:AJ24)</f>
        <v>12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>
        <v>3</v>
      </c>
      <c r="R24" s="90">
        <v>3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>
        <v>6</v>
      </c>
      <c r="AF24" s="90"/>
      <c r="AG24" s="90"/>
      <c r="AH24" s="90"/>
      <c r="AI24" s="90"/>
      <c r="AJ24" s="212"/>
      <c r="AK24" s="224">
        <f>COUNTIF(E24:AJ24,"&gt;0")</f>
        <v>3</v>
      </c>
      <c r="AL24" s="227">
        <f>SMALL(D24:AJ24,1)</f>
        <v>3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</row>
    <row r="25" spans="2:65" ht="15">
      <c r="B25" s="83" t="s">
        <v>125</v>
      </c>
      <c r="C25" s="137">
        <f>SUM(D25:AJ25)</f>
        <v>8</v>
      </c>
      <c r="D25" s="90"/>
      <c r="E25" s="90"/>
      <c r="F25" s="90"/>
      <c r="G25" s="90"/>
      <c r="H25" s="90"/>
      <c r="I25" s="90"/>
      <c r="J25" s="90"/>
      <c r="K25" s="90">
        <v>4</v>
      </c>
      <c r="L25" s="90"/>
      <c r="M25" s="90"/>
      <c r="N25" s="90"/>
      <c r="O25" s="90">
        <v>4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212"/>
      <c r="AK25" s="224">
        <f>COUNTIF(E25:AJ25,"&gt;0")</f>
        <v>2</v>
      </c>
      <c r="AL25" s="227">
        <f>SMALL(D25:AJ25,1)</f>
        <v>4</v>
      </c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</row>
    <row r="26" spans="2:65" ht="15">
      <c r="B26" s="85" t="s">
        <v>68</v>
      </c>
      <c r="C26" s="137">
        <f>SUM(D26:AJ26)</f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213"/>
      <c r="AK26" s="225">
        <f>COUNTIF(E26:AJ26,"&gt;0")</f>
        <v>0</v>
      </c>
      <c r="AL26" s="228" t="e">
        <f>SMALL(D26:AJ26,1)</f>
        <v>#NUM!</v>
      </c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</row>
    <row r="27" spans="2:65" ht="15">
      <c r="B27" s="184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86"/>
      <c r="AL27" s="87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</row>
    <row r="28" spans="3:65" s="179" customFormat="1" ht="16.5" customHeight="1">
      <c r="C28" s="180"/>
      <c r="D28" s="181">
        <f aca="true" t="shared" si="0" ref="D28:K28">SUM(D3:D26)</f>
        <v>14</v>
      </c>
      <c r="E28" s="181">
        <f t="shared" si="0"/>
        <v>39</v>
      </c>
      <c r="F28" s="181">
        <f t="shared" si="0"/>
        <v>39</v>
      </c>
      <c r="G28" s="181">
        <f t="shared" si="0"/>
        <v>39</v>
      </c>
      <c r="H28" s="181">
        <f t="shared" si="0"/>
        <v>39</v>
      </c>
      <c r="I28" s="181">
        <f t="shared" si="0"/>
        <v>38</v>
      </c>
      <c r="J28" s="181">
        <f t="shared" si="0"/>
        <v>38</v>
      </c>
      <c r="K28" s="181">
        <f t="shared" si="0"/>
        <v>36</v>
      </c>
      <c r="L28" s="181">
        <f aca="true" t="shared" si="1" ref="L28:T28">SUM(L3:L26)</f>
        <v>39</v>
      </c>
      <c r="M28" s="181">
        <f t="shared" si="1"/>
        <v>45</v>
      </c>
      <c r="N28" s="181">
        <f t="shared" si="1"/>
        <v>39</v>
      </c>
      <c r="O28" s="181">
        <f t="shared" si="1"/>
        <v>44</v>
      </c>
      <c r="P28" s="181">
        <f t="shared" si="1"/>
        <v>38</v>
      </c>
      <c r="Q28" s="181">
        <f t="shared" si="1"/>
        <v>39</v>
      </c>
      <c r="R28" s="181">
        <f t="shared" si="1"/>
        <v>39</v>
      </c>
      <c r="S28" s="181">
        <f t="shared" si="1"/>
        <v>36</v>
      </c>
      <c r="T28" s="181">
        <f t="shared" si="1"/>
        <v>36</v>
      </c>
      <c r="U28" s="181">
        <f aca="true" t="shared" si="2" ref="U28:AJ28">SUM(U3:U26)</f>
        <v>60</v>
      </c>
      <c r="V28" s="181">
        <f t="shared" si="2"/>
        <v>39</v>
      </c>
      <c r="W28" s="181">
        <f t="shared" si="2"/>
        <v>38</v>
      </c>
      <c r="X28" s="181">
        <f t="shared" si="2"/>
        <v>39</v>
      </c>
      <c r="Y28" s="181">
        <f t="shared" si="2"/>
        <v>39</v>
      </c>
      <c r="Z28" s="181">
        <f t="shared" si="2"/>
        <v>42</v>
      </c>
      <c r="AA28" s="181">
        <f t="shared" si="2"/>
        <v>36</v>
      </c>
      <c r="AB28" s="181">
        <f t="shared" si="2"/>
        <v>37</v>
      </c>
      <c r="AC28" s="181">
        <f t="shared" si="2"/>
        <v>37</v>
      </c>
      <c r="AD28" s="181">
        <f t="shared" si="2"/>
        <v>37</v>
      </c>
      <c r="AE28" s="181">
        <f t="shared" si="2"/>
        <v>39</v>
      </c>
      <c r="AF28" s="181">
        <f t="shared" si="2"/>
        <v>39</v>
      </c>
      <c r="AG28" s="181">
        <f t="shared" si="2"/>
        <v>39</v>
      </c>
      <c r="AH28" s="181">
        <f t="shared" si="2"/>
        <v>39</v>
      </c>
      <c r="AI28" s="181">
        <f t="shared" si="2"/>
        <v>39</v>
      </c>
      <c r="AJ28" s="181">
        <f t="shared" si="2"/>
        <v>37</v>
      </c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</row>
    <row r="29" spans="3:65" ht="15">
      <c r="C29" s="39" t="s">
        <v>52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</row>
    <row r="30" spans="3:21" ht="1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</sheetData>
  <sheetProtection/>
  <autoFilter ref="C2:C26">
    <sortState ref="C3:C30">
      <sortCondition descending="1" sortBy="value" ref="C3:C30"/>
    </sortState>
  </autoFilter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155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154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82</v>
      </c>
      <c r="C5" s="101">
        <v>21.3</v>
      </c>
      <c r="D5" s="105">
        <v>0</v>
      </c>
      <c r="E5" s="112">
        <v>39</v>
      </c>
      <c r="F5" s="110"/>
      <c r="G5" s="105">
        <v>1</v>
      </c>
      <c r="H5" s="102">
        <v>10</v>
      </c>
      <c r="I5" s="106">
        <f aca="true" t="shared" si="0" ref="I5:I12">O7+J5</f>
        <v>1250000</v>
      </c>
      <c r="J5" s="122">
        <f>IF(F5&gt;0,$O$16,0)+IF(D5,50000,0)</f>
        <v>0</v>
      </c>
      <c r="K5" s="125"/>
      <c r="L5" s="125"/>
      <c r="M5" s="125"/>
      <c r="Q5" s="156"/>
    </row>
    <row r="6" spans="2:17" s="107" customFormat="1" ht="18" customHeight="1">
      <c r="B6" s="100" t="s">
        <v>62</v>
      </c>
      <c r="C6" s="101">
        <v>24.2</v>
      </c>
      <c r="D6" s="112">
        <v>0</v>
      </c>
      <c r="E6" s="103">
        <v>35</v>
      </c>
      <c r="F6" s="110"/>
      <c r="G6" s="105">
        <v>2</v>
      </c>
      <c r="H6" s="105">
        <v>8</v>
      </c>
      <c r="I6" s="106">
        <f t="shared" si="0"/>
        <v>1000000</v>
      </c>
      <c r="J6" s="122">
        <f aca="true" t="shared" si="1" ref="J6:J28">IF(F6&gt;0,$O$16,0)+IF(D6,50000,0)</f>
        <v>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78</v>
      </c>
      <c r="C7" s="101">
        <v>16.1</v>
      </c>
      <c r="D7" s="105">
        <v>-3</v>
      </c>
      <c r="E7" s="103">
        <v>36</v>
      </c>
      <c r="F7" s="104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192</v>
      </c>
      <c r="C8" s="101">
        <v>18</v>
      </c>
      <c r="D8" s="105">
        <v>-5</v>
      </c>
      <c r="E8" s="112">
        <v>36</v>
      </c>
      <c r="F8" s="110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70</v>
      </c>
      <c r="C9" s="101">
        <v>21.6</v>
      </c>
      <c r="D9" s="110">
        <v>-7</v>
      </c>
      <c r="E9" s="103">
        <v>37</v>
      </c>
      <c r="F9" s="104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63</v>
      </c>
      <c r="C10" s="111">
        <v>24.8</v>
      </c>
      <c r="D10" s="105">
        <v>-8</v>
      </c>
      <c r="E10" s="103">
        <v>34</v>
      </c>
      <c r="F10" s="104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29</v>
      </c>
      <c r="C11" s="111">
        <v>7.8</v>
      </c>
      <c r="D11" s="108">
        <v>-9</v>
      </c>
      <c r="E11" s="112">
        <v>35</v>
      </c>
      <c r="F11" s="104">
        <v>9.21</v>
      </c>
      <c r="G11" s="105">
        <v>7</v>
      </c>
      <c r="H11" s="105">
        <v>2</v>
      </c>
      <c r="I11" s="106">
        <f t="shared" si="0"/>
        <v>650000</v>
      </c>
      <c r="J11" s="122">
        <f t="shared" si="1"/>
        <v>350000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67</v>
      </c>
      <c r="C12" s="101">
        <v>17.8</v>
      </c>
      <c r="D12" s="110">
        <v>-9</v>
      </c>
      <c r="E12" s="112">
        <v>32</v>
      </c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60</v>
      </c>
      <c r="C13" s="111">
        <v>23.7</v>
      </c>
      <c r="D13" s="105">
        <v>-9</v>
      </c>
      <c r="E13" s="112">
        <v>37</v>
      </c>
      <c r="F13" s="116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79</v>
      </c>
      <c r="C14" s="101">
        <v>5.8</v>
      </c>
      <c r="D14" s="108">
        <v>-10</v>
      </c>
      <c r="E14" s="103">
        <v>32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17" t="s">
        <v>30</v>
      </c>
      <c r="C15" s="118">
        <v>10.6</v>
      </c>
      <c r="D15" s="105">
        <v>-10</v>
      </c>
      <c r="E15" s="112">
        <v>35</v>
      </c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58</v>
      </c>
      <c r="C16" s="101">
        <v>24.5</v>
      </c>
      <c r="D16" s="105">
        <v>-12</v>
      </c>
      <c r="E16" s="103">
        <v>39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59</v>
      </c>
      <c r="C17" s="101">
        <v>21.4</v>
      </c>
      <c r="D17" s="102">
        <v>-14</v>
      </c>
      <c r="E17" s="103">
        <v>39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69</v>
      </c>
      <c r="C18" s="101">
        <v>26.8</v>
      </c>
      <c r="D18" s="105">
        <v>-15</v>
      </c>
      <c r="E18" s="103">
        <v>35</v>
      </c>
      <c r="F18" s="104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156"/>
      <c r="R18" s="114"/>
      <c r="S18" s="115"/>
    </row>
    <row r="19" spans="2:19" s="107" customFormat="1" ht="18" customHeight="1">
      <c r="B19" s="100" t="s">
        <v>61</v>
      </c>
      <c r="C19" s="101">
        <v>8.6</v>
      </c>
      <c r="D19" s="108">
        <v>-18</v>
      </c>
      <c r="E19" s="112">
        <v>36</v>
      </c>
      <c r="F19" s="110"/>
      <c r="G19" s="105"/>
      <c r="H19" s="105"/>
      <c r="I19" s="106">
        <f t="shared" si="2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80</v>
      </c>
      <c r="C20" s="101">
        <v>19.1</v>
      </c>
      <c r="D20" s="105">
        <v>-19</v>
      </c>
      <c r="E20" s="103">
        <v>36</v>
      </c>
      <c r="F20" s="104"/>
      <c r="G20" s="105"/>
      <c r="H20" s="105"/>
      <c r="I20" s="106">
        <f t="shared" si="2"/>
        <v>50000</v>
      </c>
      <c r="J20" s="122">
        <f t="shared" si="1"/>
        <v>50000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17" t="s">
        <v>84</v>
      </c>
      <c r="C21" s="118">
        <v>33</v>
      </c>
      <c r="D21" s="105">
        <v>-25</v>
      </c>
      <c r="E21" s="103">
        <v>48</v>
      </c>
      <c r="F21" s="104"/>
      <c r="G21" s="110"/>
      <c r="H21" s="110"/>
      <c r="I21" s="106">
        <f t="shared" si="2"/>
        <v>50000</v>
      </c>
      <c r="J21" s="122">
        <f t="shared" si="1"/>
        <v>50000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83</v>
      </c>
      <c r="C22" s="111">
        <v>7.9</v>
      </c>
      <c r="D22" s="105"/>
      <c r="E22" s="103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77</v>
      </c>
      <c r="C23" s="101">
        <v>9.6</v>
      </c>
      <c r="D23" s="105"/>
      <c r="E23" s="108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17" t="s">
        <v>65</v>
      </c>
      <c r="C24" s="118">
        <v>10.7</v>
      </c>
      <c r="D24" s="105"/>
      <c r="E24" s="112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64</v>
      </c>
      <c r="C25" s="101">
        <v>14.2</v>
      </c>
      <c r="D25" s="108"/>
      <c r="E25" s="103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66</v>
      </c>
      <c r="C26" s="101">
        <v>16.5</v>
      </c>
      <c r="D26" s="108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68</v>
      </c>
      <c r="C27" s="101">
        <v>19.9</v>
      </c>
      <c r="D27" s="105"/>
      <c r="E27" s="103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00" t="s">
        <v>81</v>
      </c>
      <c r="C28" s="101">
        <v>31</v>
      </c>
      <c r="D28" s="108"/>
      <c r="E28" s="103"/>
      <c r="F28" s="110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6050000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S30"/>
  <sheetViews>
    <sheetView showZeros="0"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152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153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82</v>
      </c>
      <c r="C5" s="101">
        <v>21.3</v>
      </c>
      <c r="D5" s="105">
        <v>34</v>
      </c>
      <c r="E5" s="112">
        <v>31</v>
      </c>
      <c r="F5" s="110"/>
      <c r="G5" s="105">
        <v>1</v>
      </c>
      <c r="H5" s="102">
        <v>10</v>
      </c>
      <c r="I5" s="106">
        <f aca="true" t="shared" si="0" ref="I5:I12">O7+J5</f>
        <v>1675000</v>
      </c>
      <c r="J5" s="122">
        <f aca="true" t="shared" si="1" ref="J5:J28">IF(F5&gt;0,$O$16,0)+IF(D5&gt;0,50000,0)</f>
        <v>50000</v>
      </c>
      <c r="K5" s="125"/>
      <c r="L5" s="125"/>
      <c r="M5" s="125"/>
      <c r="Q5" s="156"/>
    </row>
    <row r="6" spans="2:17" s="107" customFormat="1" ht="18" customHeight="1">
      <c r="B6" s="117" t="s">
        <v>30</v>
      </c>
      <c r="C6" s="118">
        <v>10.6</v>
      </c>
      <c r="D6" s="105">
        <v>32</v>
      </c>
      <c r="E6" s="112">
        <v>26</v>
      </c>
      <c r="F6" s="104">
        <v>14.97</v>
      </c>
      <c r="G6" s="105">
        <v>2</v>
      </c>
      <c r="H6" s="105">
        <v>8</v>
      </c>
      <c r="I6" s="106">
        <f t="shared" si="0"/>
        <v>1740000</v>
      </c>
      <c r="J6" s="122">
        <f t="shared" si="1"/>
        <v>440000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192</v>
      </c>
      <c r="C7" s="101">
        <v>17.8</v>
      </c>
      <c r="D7" s="105">
        <v>31</v>
      </c>
      <c r="E7" s="112">
        <v>35</v>
      </c>
      <c r="F7" s="110"/>
      <c r="G7" s="110">
        <v>3</v>
      </c>
      <c r="H7" s="110">
        <v>6</v>
      </c>
      <c r="I7" s="106">
        <f t="shared" si="0"/>
        <v>1025000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1625000</v>
      </c>
      <c r="Q7" s="156"/>
    </row>
    <row r="8" spans="2:19" s="107" customFormat="1" ht="18" customHeight="1">
      <c r="B8" s="100" t="s">
        <v>79</v>
      </c>
      <c r="C8" s="101">
        <v>5.8</v>
      </c>
      <c r="D8" s="108">
        <v>29</v>
      </c>
      <c r="E8" s="103">
        <v>28</v>
      </c>
      <c r="F8" s="110"/>
      <c r="G8" s="105">
        <v>4</v>
      </c>
      <c r="H8" s="105">
        <v>5</v>
      </c>
      <c r="I8" s="106">
        <f t="shared" si="0"/>
        <v>830000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1300000</v>
      </c>
      <c r="P8" s="114"/>
      <c r="Q8" s="156"/>
      <c r="R8" s="114"/>
      <c r="S8" s="115"/>
    </row>
    <row r="9" spans="2:17" s="107" customFormat="1" ht="18" customHeight="1">
      <c r="B9" s="100" t="s">
        <v>59</v>
      </c>
      <c r="C9" s="101">
        <v>21.4</v>
      </c>
      <c r="D9" s="102">
        <v>29</v>
      </c>
      <c r="E9" s="103">
        <v>33</v>
      </c>
      <c r="F9" s="104"/>
      <c r="G9" s="105">
        <v>5</v>
      </c>
      <c r="H9" s="105">
        <v>4</v>
      </c>
      <c r="I9" s="106">
        <f t="shared" si="0"/>
        <v>700000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975000</v>
      </c>
      <c r="Q9" s="156"/>
    </row>
    <row r="10" spans="2:17" s="107" customFormat="1" ht="18" customHeight="1">
      <c r="B10" s="100" t="s">
        <v>67</v>
      </c>
      <c r="C10" s="101">
        <v>17.8</v>
      </c>
      <c r="D10" s="110">
        <v>28</v>
      </c>
      <c r="E10" s="112">
        <v>39</v>
      </c>
      <c r="F10" s="104"/>
      <c r="G10" s="116">
        <v>6</v>
      </c>
      <c r="H10" s="116">
        <v>3</v>
      </c>
      <c r="I10" s="106">
        <f t="shared" si="0"/>
        <v>570000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780000</v>
      </c>
      <c r="Q10" s="156"/>
    </row>
    <row r="11" spans="2:17" s="107" customFormat="1" ht="18" customHeight="1">
      <c r="B11" s="100" t="s">
        <v>29</v>
      </c>
      <c r="C11" s="111">
        <v>7.8</v>
      </c>
      <c r="D11" s="108">
        <v>27</v>
      </c>
      <c r="E11" s="112">
        <v>32</v>
      </c>
      <c r="F11" s="104"/>
      <c r="G11" s="105">
        <v>7</v>
      </c>
      <c r="H11" s="105">
        <v>2</v>
      </c>
      <c r="I11" s="106">
        <f t="shared" si="0"/>
        <v>440000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650000</v>
      </c>
      <c r="Q11" s="156"/>
    </row>
    <row r="12" spans="2:17" s="107" customFormat="1" ht="18" customHeight="1">
      <c r="B12" s="100" t="s">
        <v>78</v>
      </c>
      <c r="C12" s="101">
        <v>16.1</v>
      </c>
      <c r="D12" s="105">
        <v>27</v>
      </c>
      <c r="E12" s="103">
        <v>36</v>
      </c>
      <c r="F12" s="104"/>
      <c r="G12" s="105">
        <v>8</v>
      </c>
      <c r="H12" s="105">
        <v>1</v>
      </c>
      <c r="I12" s="106">
        <f t="shared" si="0"/>
        <v>310000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520000</v>
      </c>
      <c r="Q12" s="156"/>
    </row>
    <row r="13" spans="2:17" s="107" customFormat="1" ht="18" customHeight="1">
      <c r="B13" s="100" t="s">
        <v>58</v>
      </c>
      <c r="C13" s="101">
        <v>24.4</v>
      </c>
      <c r="D13" s="105">
        <v>26</v>
      </c>
      <c r="E13" s="103">
        <v>38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390000</v>
      </c>
      <c r="Q13" s="156"/>
    </row>
    <row r="14" spans="2:17" s="107" customFormat="1" ht="18" customHeight="1">
      <c r="B14" s="100" t="s">
        <v>61</v>
      </c>
      <c r="C14" s="101">
        <v>8.6</v>
      </c>
      <c r="D14" s="108">
        <v>24</v>
      </c>
      <c r="E14" s="112">
        <v>37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260000</v>
      </c>
      <c r="Q14" s="156"/>
    </row>
    <row r="15" spans="2:17" s="107" customFormat="1" ht="18" customHeight="1">
      <c r="B15" s="100" t="s">
        <v>77</v>
      </c>
      <c r="C15" s="101">
        <v>9.6</v>
      </c>
      <c r="D15" s="105">
        <v>24</v>
      </c>
      <c r="E15" s="108">
        <v>40</v>
      </c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6500000</v>
      </c>
      <c r="Q15" s="156"/>
    </row>
    <row r="16" spans="2:17" s="107" customFormat="1" ht="18" customHeight="1">
      <c r="B16" s="100" t="s">
        <v>66</v>
      </c>
      <c r="C16" s="101">
        <v>16.5</v>
      </c>
      <c r="D16" s="108">
        <v>23</v>
      </c>
      <c r="E16" s="103">
        <v>37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390000</v>
      </c>
      <c r="Q16" s="156"/>
    </row>
    <row r="17" spans="2:17" s="107" customFormat="1" ht="18" customHeight="1">
      <c r="B17" s="100" t="s">
        <v>69</v>
      </c>
      <c r="C17" s="101">
        <v>26.8</v>
      </c>
      <c r="D17" s="105">
        <v>23</v>
      </c>
      <c r="E17" s="103">
        <v>39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80</v>
      </c>
      <c r="C18" s="101">
        <v>19.1</v>
      </c>
      <c r="D18" s="105">
        <v>17</v>
      </c>
      <c r="E18" s="103">
        <v>37</v>
      </c>
      <c r="F18" s="104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156"/>
      <c r="R18" s="114"/>
      <c r="S18" s="115"/>
    </row>
    <row r="19" spans="2:19" s="107" customFormat="1" ht="18" customHeight="1">
      <c r="B19" s="100" t="s">
        <v>83</v>
      </c>
      <c r="C19" s="111">
        <v>7.9</v>
      </c>
      <c r="D19" s="105"/>
      <c r="E19" s="103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17" t="s">
        <v>65</v>
      </c>
      <c r="C20" s="118">
        <v>10.7</v>
      </c>
      <c r="D20" s="105"/>
      <c r="E20" s="112"/>
      <c r="F20" s="110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1300000</v>
      </c>
      <c r="P20" s="115"/>
      <c r="Q20" s="115"/>
      <c r="R20" s="115"/>
      <c r="S20" s="115"/>
    </row>
    <row r="21" spans="2:15" s="4" customFormat="1" ht="18" customHeight="1">
      <c r="B21" s="100" t="s">
        <v>64</v>
      </c>
      <c r="C21" s="101">
        <v>14.2</v>
      </c>
      <c r="D21" s="108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975000</v>
      </c>
    </row>
    <row r="22" spans="2:15" s="4" customFormat="1" ht="18" customHeight="1">
      <c r="B22" s="100" t="s">
        <v>68</v>
      </c>
      <c r="C22" s="101">
        <v>19.9</v>
      </c>
      <c r="D22" s="105"/>
      <c r="E22" s="103"/>
      <c r="F22" s="110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650000</v>
      </c>
    </row>
    <row r="23" spans="2:15" s="4" customFormat="1" ht="18" customHeight="1">
      <c r="B23" s="100" t="s">
        <v>70</v>
      </c>
      <c r="C23" s="101">
        <v>21.6</v>
      </c>
      <c r="D23" s="110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325000</v>
      </c>
    </row>
    <row r="24" spans="2:15" s="4" customFormat="1" ht="18" customHeight="1">
      <c r="B24" s="100" t="s">
        <v>60</v>
      </c>
      <c r="C24" s="111">
        <v>23.7</v>
      </c>
      <c r="D24" s="105"/>
      <c r="E24" s="112"/>
      <c r="F24" s="116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62</v>
      </c>
      <c r="C25" s="101">
        <v>24.2</v>
      </c>
      <c r="D25" s="112"/>
      <c r="E25" s="103"/>
      <c r="F25" s="110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63</v>
      </c>
      <c r="C26" s="111">
        <v>24.6</v>
      </c>
      <c r="D26" s="105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81</v>
      </c>
      <c r="C27" s="101">
        <v>31</v>
      </c>
      <c r="D27" s="108"/>
      <c r="E27" s="103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1088750</v>
      </c>
    </row>
    <row r="28" spans="2:15" s="4" customFormat="1" ht="18" customHeight="1">
      <c r="B28" s="117" t="s">
        <v>84</v>
      </c>
      <c r="C28" s="118">
        <v>33</v>
      </c>
      <c r="D28" s="105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536250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7590000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S30"/>
  <sheetViews>
    <sheetView showZeros="0" zoomScale="75" zoomScaleNormal="75" zoomScalePageLayoutView="0" workbookViewId="0" topLeftCell="A1">
      <selection activeCell="R2" sqref="R2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145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146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82</v>
      </c>
      <c r="C5" s="101">
        <v>22.5</v>
      </c>
      <c r="D5" s="108">
        <v>39</v>
      </c>
      <c r="E5" s="103">
        <v>33</v>
      </c>
      <c r="F5" s="110">
        <v>15.68</v>
      </c>
      <c r="G5" s="105">
        <v>1</v>
      </c>
      <c r="H5" s="102">
        <v>10</v>
      </c>
      <c r="I5" s="106">
        <f aca="true" t="shared" si="0" ref="I5:I12">O7+J5</f>
        <v>1600000</v>
      </c>
      <c r="J5" s="122">
        <f aca="true" t="shared" si="1" ref="J5:J28">IF(F5&gt;0,$O$16,0)+IF(D5&gt;0,50000,0)</f>
        <v>350000</v>
      </c>
      <c r="K5" s="125"/>
      <c r="L5" s="125"/>
      <c r="M5" s="125"/>
      <c r="Q5" s="156"/>
    </row>
    <row r="6" spans="2:17" s="107" customFormat="1" ht="18" customHeight="1">
      <c r="B6" s="100" t="s">
        <v>70</v>
      </c>
      <c r="C6" s="101">
        <v>21.6</v>
      </c>
      <c r="D6" s="105">
        <v>36</v>
      </c>
      <c r="E6" s="103">
        <v>36</v>
      </c>
      <c r="F6" s="104"/>
      <c r="G6" s="105">
        <v>2</v>
      </c>
      <c r="H6" s="105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78</v>
      </c>
      <c r="C7" s="101">
        <v>16.1</v>
      </c>
      <c r="D7" s="108">
        <v>33</v>
      </c>
      <c r="E7" s="112">
        <v>37</v>
      </c>
      <c r="F7" s="110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17" t="s">
        <v>30</v>
      </c>
      <c r="C8" s="118">
        <v>10.6</v>
      </c>
      <c r="D8" s="108">
        <v>31</v>
      </c>
      <c r="E8" s="112">
        <v>35</v>
      </c>
      <c r="F8" s="110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59</v>
      </c>
      <c r="C9" s="101">
        <v>21.4</v>
      </c>
      <c r="D9" s="160" t="s">
        <v>147</v>
      </c>
      <c r="E9" s="161">
        <v>33</v>
      </c>
      <c r="F9" s="162"/>
      <c r="G9" s="160">
        <v>5</v>
      </c>
      <c r="H9" s="160">
        <v>2</v>
      </c>
      <c r="I9" s="163">
        <v>300000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17" t="s">
        <v>65</v>
      </c>
      <c r="C10" s="118">
        <v>10.7</v>
      </c>
      <c r="D10" s="105">
        <v>30</v>
      </c>
      <c r="E10" s="112">
        <v>33</v>
      </c>
      <c r="F10" s="104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62</v>
      </c>
      <c r="C11" s="101">
        <v>24.2</v>
      </c>
      <c r="D11" s="105">
        <v>30</v>
      </c>
      <c r="E11" s="112">
        <v>43</v>
      </c>
      <c r="F11" s="104"/>
      <c r="G11" s="105">
        <v>7</v>
      </c>
      <c r="H11" s="105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64</v>
      </c>
      <c r="C12" s="101">
        <v>14.2</v>
      </c>
      <c r="D12" s="108">
        <v>29</v>
      </c>
      <c r="E12" s="103">
        <v>36</v>
      </c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58</v>
      </c>
      <c r="C13" s="101">
        <v>24.4</v>
      </c>
      <c r="D13" s="105">
        <v>29</v>
      </c>
      <c r="E13" s="103">
        <v>38</v>
      </c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61</v>
      </c>
      <c r="C14" s="101">
        <v>8.6</v>
      </c>
      <c r="D14" s="108">
        <v>28</v>
      </c>
      <c r="E14" s="103">
        <v>32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80</v>
      </c>
      <c r="C15" s="101">
        <v>19.1</v>
      </c>
      <c r="D15" s="110">
        <v>28</v>
      </c>
      <c r="E15" s="112">
        <v>32</v>
      </c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79</v>
      </c>
      <c r="C16" s="101">
        <v>5.8</v>
      </c>
      <c r="D16" s="105">
        <v>27</v>
      </c>
      <c r="E16" s="112">
        <v>29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29</v>
      </c>
      <c r="C17" s="111">
        <v>8.6</v>
      </c>
      <c r="D17" s="105">
        <v>27</v>
      </c>
      <c r="E17" s="103">
        <v>37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67</v>
      </c>
      <c r="C18" s="101">
        <v>17.8</v>
      </c>
      <c r="D18" s="105">
        <v>27</v>
      </c>
      <c r="E18" s="103">
        <v>34</v>
      </c>
      <c r="F18" s="104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156"/>
      <c r="R18" s="114"/>
      <c r="S18" s="115"/>
    </row>
    <row r="19" spans="2:19" s="107" customFormat="1" ht="18" customHeight="1">
      <c r="B19" s="100" t="s">
        <v>192</v>
      </c>
      <c r="C19" s="101">
        <v>17.8</v>
      </c>
      <c r="D19" s="102">
        <v>27</v>
      </c>
      <c r="E19" s="103">
        <v>37</v>
      </c>
      <c r="F19" s="104"/>
      <c r="G19" s="105"/>
      <c r="H19" s="105"/>
      <c r="I19" s="106">
        <f t="shared" si="2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81</v>
      </c>
      <c r="C20" s="101">
        <v>31</v>
      </c>
      <c r="D20" s="110">
        <v>26</v>
      </c>
      <c r="E20" s="103">
        <v>37</v>
      </c>
      <c r="F20" s="110"/>
      <c r="G20" s="105"/>
      <c r="H20" s="105"/>
      <c r="I20" s="106">
        <f t="shared" si="2"/>
        <v>50000</v>
      </c>
      <c r="J20" s="122">
        <f t="shared" si="1"/>
        <v>50000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60</v>
      </c>
      <c r="C21" s="111">
        <v>23.7</v>
      </c>
      <c r="D21" s="105">
        <v>23</v>
      </c>
      <c r="E21" s="112">
        <v>40</v>
      </c>
      <c r="F21" s="104"/>
      <c r="G21" s="110"/>
      <c r="H21" s="110"/>
      <c r="I21" s="106">
        <f t="shared" si="2"/>
        <v>50000</v>
      </c>
      <c r="J21" s="122">
        <f t="shared" si="1"/>
        <v>50000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66</v>
      </c>
      <c r="C22" s="101">
        <v>16.5</v>
      </c>
      <c r="D22" s="105">
        <v>22</v>
      </c>
      <c r="E22" s="112">
        <v>40</v>
      </c>
      <c r="F22" s="110"/>
      <c r="G22" s="110"/>
      <c r="H22" s="110"/>
      <c r="I22" s="106">
        <f t="shared" si="2"/>
        <v>50000</v>
      </c>
      <c r="J22" s="122">
        <f t="shared" si="1"/>
        <v>50000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68</v>
      </c>
      <c r="C23" s="101">
        <v>19.9</v>
      </c>
      <c r="D23" s="112">
        <v>17</v>
      </c>
      <c r="E23" s="103">
        <v>43</v>
      </c>
      <c r="F23" s="104"/>
      <c r="G23" s="110"/>
      <c r="H23" s="110"/>
      <c r="I23" s="106">
        <f t="shared" si="2"/>
        <v>50000</v>
      </c>
      <c r="J23" s="122">
        <f t="shared" si="1"/>
        <v>50000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83</v>
      </c>
      <c r="C24" s="111">
        <v>7.9</v>
      </c>
      <c r="D24" s="105"/>
      <c r="E24" s="103"/>
      <c r="F24" s="116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77</v>
      </c>
      <c r="C25" s="101">
        <v>9.6</v>
      </c>
      <c r="D25" s="105"/>
      <c r="E25" s="103"/>
      <c r="F25" s="110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63</v>
      </c>
      <c r="C26" s="111">
        <v>24.6</v>
      </c>
      <c r="D26" s="105"/>
      <c r="E26" s="103"/>
      <c r="F26" s="104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69</v>
      </c>
      <c r="C27" s="101">
        <v>26.8</v>
      </c>
      <c r="D27" s="108"/>
      <c r="E27" s="103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>
        <v>33</v>
      </c>
      <c r="D28" s="105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6000000</v>
      </c>
      <c r="J29" s="123"/>
    </row>
    <row r="30" spans="2:10" ht="24" customHeight="1" thickTop="1">
      <c r="B30" s="164" t="s">
        <v>148</v>
      </c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S30"/>
  <sheetViews>
    <sheetView showZeros="0"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142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143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29</v>
      </c>
      <c r="C5" s="111">
        <v>8.6</v>
      </c>
      <c r="D5" s="105">
        <v>40</v>
      </c>
      <c r="E5" s="112">
        <v>27</v>
      </c>
      <c r="F5" s="104"/>
      <c r="G5" s="105">
        <v>1</v>
      </c>
      <c r="H5" s="102">
        <v>10</v>
      </c>
      <c r="I5" s="106">
        <f aca="true" t="shared" si="0" ref="I5:I12">O7+J5</f>
        <v>1300000</v>
      </c>
      <c r="J5" s="122">
        <f aca="true" t="shared" si="1" ref="J5:J28">IF(F5&gt;0,$O$16,0)+IF(D5&gt;0,50000,0)</f>
        <v>50000</v>
      </c>
      <c r="K5" s="125"/>
      <c r="L5" s="125"/>
      <c r="M5" s="125"/>
      <c r="Q5" s="156"/>
    </row>
    <row r="6" spans="2:17" s="107" customFormat="1" ht="18" customHeight="1">
      <c r="B6" s="117" t="s">
        <v>30</v>
      </c>
      <c r="C6" s="118">
        <v>10.6</v>
      </c>
      <c r="D6" s="105">
        <v>33</v>
      </c>
      <c r="E6" s="103">
        <v>32</v>
      </c>
      <c r="F6" s="116"/>
      <c r="G6" s="105">
        <v>2</v>
      </c>
      <c r="H6" s="105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80</v>
      </c>
      <c r="C7" s="101">
        <v>19.1</v>
      </c>
      <c r="D7" s="105">
        <v>33</v>
      </c>
      <c r="E7" s="103">
        <v>34</v>
      </c>
      <c r="F7" s="104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17" t="s">
        <v>84</v>
      </c>
      <c r="C8" s="118">
        <v>33</v>
      </c>
      <c r="D8" s="108">
        <v>33</v>
      </c>
      <c r="E8" s="103">
        <v>35</v>
      </c>
      <c r="F8" s="110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81</v>
      </c>
      <c r="C9" s="101">
        <v>31</v>
      </c>
      <c r="D9" s="105">
        <v>32</v>
      </c>
      <c r="E9" s="103">
        <v>35</v>
      </c>
      <c r="F9" s="110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83</v>
      </c>
      <c r="C10" s="111">
        <v>7.9</v>
      </c>
      <c r="D10" s="108">
        <v>30</v>
      </c>
      <c r="E10" s="112">
        <v>31</v>
      </c>
      <c r="F10" s="104">
        <v>4.63</v>
      </c>
      <c r="G10" s="116">
        <v>6</v>
      </c>
      <c r="H10" s="116">
        <v>3</v>
      </c>
      <c r="I10" s="106">
        <f t="shared" si="0"/>
        <v>750000</v>
      </c>
      <c r="J10" s="122">
        <f t="shared" si="1"/>
        <v>350000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59</v>
      </c>
      <c r="C11" s="101">
        <v>21.4</v>
      </c>
      <c r="D11" s="105">
        <v>28</v>
      </c>
      <c r="E11" s="112">
        <v>36</v>
      </c>
      <c r="F11" s="104"/>
      <c r="G11" s="105">
        <v>7</v>
      </c>
      <c r="H11" s="105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61</v>
      </c>
      <c r="C12" s="101">
        <v>8.6</v>
      </c>
      <c r="D12" s="108">
        <v>27</v>
      </c>
      <c r="E12" s="103">
        <v>35</v>
      </c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67</v>
      </c>
      <c r="C13" s="101">
        <v>17.8</v>
      </c>
      <c r="D13" s="108">
        <v>27</v>
      </c>
      <c r="E13" s="112">
        <v>37</v>
      </c>
      <c r="F13" s="110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17" t="s">
        <v>65</v>
      </c>
      <c r="C14" s="118">
        <v>10.7</v>
      </c>
      <c r="D14" s="105">
        <v>26</v>
      </c>
      <c r="E14" s="112">
        <v>34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63</v>
      </c>
      <c r="C15" s="111">
        <v>24.6</v>
      </c>
      <c r="D15" s="102">
        <v>26</v>
      </c>
      <c r="E15" s="103">
        <v>41</v>
      </c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64</v>
      </c>
      <c r="C16" s="101">
        <v>14.2</v>
      </c>
      <c r="D16" s="105">
        <v>25</v>
      </c>
      <c r="E16" s="103">
        <v>36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78</v>
      </c>
      <c r="C17" s="101">
        <v>16.1</v>
      </c>
      <c r="D17" s="110">
        <v>25</v>
      </c>
      <c r="E17" s="112">
        <v>38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70</v>
      </c>
      <c r="C18" s="101">
        <v>21.6</v>
      </c>
      <c r="D18" s="112">
        <v>24</v>
      </c>
      <c r="E18" s="103">
        <v>37</v>
      </c>
      <c r="F18" s="104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156"/>
      <c r="R18" s="114"/>
      <c r="S18" s="115"/>
    </row>
    <row r="19" spans="2:19" s="107" customFormat="1" ht="18" customHeight="1">
      <c r="B19" s="100" t="s">
        <v>79</v>
      </c>
      <c r="C19" s="101">
        <v>5.8</v>
      </c>
      <c r="D19" s="105">
        <v>23</v>
      </c>
      <c r="E19" s="103">
        <v>28</v>
      </c>
      <c r="F19" s="110"/>
      <c r="G19" s="105"/>
      <c r="H19" s="105"/>
      <c r="I19" s="106">
        <f t="shared" si="2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192</v>
      </c>
      <c r="C20" s="101">
        <v>17.8</v>
      </c>
      <c r="D20" s="105">
        <v>19</v>
      </c>
      <c r="E20" s="103">
        <v>45</v>
      </c>
      <c r="F20" s="110"/>
      <c r="G20" s="105"/>
      <c r="H20" s="105"/>
      <c r="I20" s="106">
        <f t="shared" si="2"/>
        <v>50000</v>
      </c>
      <c r="J20" s="122">
        <f t="shared" si="1"/>
        <v>50000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77</v>
      </c>
      <c r="C21" s="101">
        <v>9.6</v>
      </c>
      <c r="D21" s="108"/>
      <c r="E21" s="103"/>
      <c r="F21" s="104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66</v>
      </c>
      <c r="C22" s="101">
        <v>16.5</v>
      </c>
      <c r="D22" s="105"/>
      <c r="E22" s="112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68</v>
      </c>
      <c r="C23" s="101">
        <v>19.9</v>
      </c>
      <c r="D23" s="105"/>
      <c r="E23" s="112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82</v>
      </c>
      <c r="C24" s="101">
        <v>22.5</v>
      </c>
      <c r="D24" s="105"/>
      <c r="E24" s="103"/>
      <c r="F24" s="104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60</v>
      </c>
      <c r="C25" s="111">
        <v>23.7</v>
      </c>
      <c r="D25" s="105"/>
      <c r="E25" s="103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62</v>
      </c>
      <c r="C26" s="101">
        <v>24.2</v>
      </c>
      <c r="D26" s="108"/>
      <c r="E26" s="103"/>
      <c r="F26" s="110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58</v>
      </c>
      <c r="C27" s="101">
        <v>24.4</v>
      </c>
      <c r="D27" s="110"/>
      <c r="E27" s="103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00" t="s">
        <v>69</v>
      </c>
      <c r="C28" s="101">
        <v>26.8</v>
      </c>
      <c r="D28" s="105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6100000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S30"/>
  <sheetViews>
    <sheetView showZeros="0" zoomScale="75" zoomScaleNormal="75" zoomScalePageLayoutView="0" workbookViewId="0" topLeftCell="A1">
      <selection activeCell="E6" sqref="E6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138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139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67</v>
      </c>
      <c r="C5" s="101">
        <v>17.8</v>
      </c>
      <c r="D5" s="105">
        <v>33</v>
      </c>
      <c r="E5" s="103">
        <v>35</v>
      </c>
      <c r="F5" s="104"/>
      <c r="G5" s="105">
        <v>1</v>
      </c>
      <c r="H5" s="102">
        <v>10</v>
      </c>
      <c r="I5" s="106">
        <f aca="true" t="shared" si="0" ref="I5:I12">O7+J5</f>
        <v>1300000</v>
      </c>
      <c r="J5" s="122">
        <f aca="true" t="shared" si="1" ref="J5:J28">IF(F5&gt;0,$O$16,0)+IF(D5&gt;0,50000,0)</f>
        <v>50000</v>
      </c>
      <c r="K5" s="125"/>
      <c r="L5" s="125"/>
      <c r="M5" s="125"/>
      <c r="Q5" s="156"/>
    </row>
    <row r="6" spans="2:17" s="107" customFormat="1" ht="18" customHeight="1">
      <c r="B6" s="117" t="s">
        <v>30</v>
      </c>
      <c r="C6" s="118">
        <v>10.6</v>
      </c>
      <c r="D6" s="108">
        <v>32</v>
      </c>
      <c r="E6" s="112">
        <v>32</v>
      </c>
      <c r="F6" s="116"/>
      <c r="G6" s="105">
        <v>2</v>
      </c>
      <c r="H6" s="105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59</v>
      </c>
      <c r="C7" s="101">
        <v>21.4</v>
      </c>
      <c r="D7" s="108">
        <v>32</v>
      </c>
      <c r="E7" s="103">
        <v>36</v>
      </c>
      <c r="F7" s="104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/>
    </row>
    <row r="8" spans="2:19" s="107" customFormat="1" ht="18" customHeight="1">
      <c r="B8" s="100" t="s">
        <v>81</v>
      </c>
      <c r="C8" s="101">
        <v>31</v>
      </c>
      <c r="D8" s="105">
        <v>32</v>
      </c>
      <c r="E8" s="112">
        <v>36</v>
      </c>
      <c r="F8" s="110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/>
      <c r="R8" s="114"/>
      <c r="S8" s="115"/>
    </row>
    <row r="9" spans="2:17" s="107" customFormat="1" ht="18" customHeight="1">
      <c r="B9" s="100" t="s">
        <v>62</v>
      </c>
      <c r="C9" s="101">
        <v>24.2</v>
      </c>
      <c r="D9" s="108">
        <v>31</v>
      </c>
      <c r="E9" s="103">
        <v>40</v>
      </c>
      <c r="F9" s="110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/>
    </row>
    <row r="10" spans="2:17" s="107" customFormat="1" ht="18" customHeight="1">
      <c r="B10" s="100" t="s">
        <v>64</v>
      </c>
      <c r="C10" s="101">
        <v>14.2</v>
      </c>
      <c r="D10" s="105">
        <v>29</v>
      </c>
      <c r="E10" s="103">
        <v>29</v>
      </c>
      <c r="F10" s="104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/>
    </row>
    <row r="11" spans="2:17" s="107" customFormat="1" ht="18" customHeight="1">
      <c r="B11" s="100" t="s">
        <v>61</v>
      </c>
      <c r="C11" s="101">
        <v>8.6</v>
      </c>
      <c r="D11" s="105">
        <v>27</v>
      </c>
      <c r="E11" s="112">
        <v>34</v>
      </c>
      <c r="F11" s="104"/>
      <c r="G11" s="105">
        <v>7</v>
      </c>
      <c r="H11" s="105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/>
    </row>
    <row r="12" spans="2:17" s="107" customFormat="1" ht="18" customHeight="1">
      <c r="B12" s="100" t="s">
        <v>78</v>
      </c>
      <c r="C12" s="101">
        <v>16.1</v>
      </c>
      <c r="D12" s="105">
        <v>27</v>
      </c>
      <c r="E12" s="103">
        <v>36</v>
      </c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/>
    </row>
    <row r="13" spans="2:17" s="107" customFormat="1" ht="18" customHeight="1">
      <c r="B13" s="100" t="s">
        <v>58</v>
      </c>
      <c r="C13" s="101">
        <v>24.4</v>
      </c>
      <c r="D13" s="110">
        <v>27</v>
      </c>
      <c r="E13" s="112">
        <v>38</v>
      </c>
      <c r="F13" s="110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/>
    </row>
    <row r="14" spans="2:17" s="107" customFormat="1" ht="18" customHeight="1">
      <c r="B14" s="100" t="s">
        <v>68</v>
      </c>
      <c r="C14" s="101">
        <v>19.9</v>
      </c>
      <c r="D14" s="105">
        <v>24</v>
      </c>
      <c r="E14" s="112">
        <v>38</v>
      </c>
      <c r="F14" s="110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/>
    </row>
    <row r="15" spans="2:17" s="107" customFormat="1" ht="18" customHeight="1">
      <c r="B15" s="100" t="s">
        <v>82</v>
      </c>
      <c r="C15" s="101">
        <v>22.5</v>
      </c>
      <c r="D15" s="108">
        <v>24</v>
      </c>
      <c r="E15" s="112">
        <v>38</v>
      </c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/>
    </row>
    <row r="16" spans="2:17" s="107" customFormat="1" ht="18" customHeight="1">
      <c r="B16" s="100" t="s">
        <v>192</v>
      </c>
      <c r="C16" s="101">
        <v>17.8</v>
      </c>
      <c r="D16" s="105">
        <v>23</v>
      </c>
      <c r="E16" s="103">
        <v>37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/>
    </row>
    <row r="17" spans="2:17" s="107" customFormat="1" ht="18" customHeight="1">
      <c r="B17" s="100" t="s">
        <v>66</v>
      </c>
      <c r="C17" s="101">
        <v>16.5</v>
      </c>
      <c r="D17" s="105">
        <v>22</v>
      </c>
      <c r="E17" s="103">
        <v>41</v>
      </c>
      <c r="F17" s="104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79</v>
      </c>
      <c r="C18" s="101">
        <v>5.7</v>
      </c>
      <c r="D18" s="105">
        <v>21</v>
      </c>
      <c r="E18" s="112">
        <v>37</v>
      </c>
      <c r="F18" s="104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156"/>
      <c r="R18" s="114"/>
      <c r="S18" s="115"/>
    </row>
    <row r="19" spans="2:19" s="107" customFormat="1" ht="18" customHeight="1">
      <c r="B19" s="100" t="s">
        <v>80</v>
      </c>
      <c r="C19" s="101">
        <v>19.1</v>
      </c>
      <c r="D19" s="105">
        <v>18</v>
      </c>
      <c r="E19" s="112">
        <v>42</v>
      </c>
      <c r="F19" s="110"/>
      <c r="G19" s="105"/>
      <c r="H19" s="105"/>
      <c r="I19" s="106">
        <f t="shared" si="2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/>
      <c r="R19" s="115"/>
      <c r="S19" s="115"/>
    </row>
    <row r="20" spans="2:19" s="107" customFormat="1" ht="18" customHeight="1">
      <c r="B20" s="100" t="s">
        <v>60</v>
      </c>
      <c r="C20" s="111">
        <v>23.7</v>
      </c>
      <c r="D20" s="112">
        <v>16</v>
      </c>
      <c r="E20" s="103"/>
      <c r="F20" s="110"/>
      <c r="G20" s="105"/>
      <c r="H20" s="105"/>
      <c r="I20" s="106">
        <f t="shared" si="2"/>
        <v>50000</v>
      </c>
      <c r="J20" s="122">
        <f t="shared" si="1"/>
        <v>50000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17" t="s">
        <v>65</v>
      </c>
      <c r="C21" s="118">
        <v>10.7</v>
      </c>
      <c r="D21" s="105">
        <v>12</v>
      </c>
      <c r="E21" s="103"/>
      <c r="F21" s="104"/>
      <c r="G21" s="110"/>
      <c r="H21" s="110"/>
      <c r="I21" s="106">
        <f t="shared" si="2"/>
        <v>50000</v>
      </c>
      <c r="J21" s="122">
        <f t="shared" si="1"/>
        <v>50000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83</v>
      </c>
      <c r="C22" s="111">
        <v>7.9</v>
      </c>
      <c r="D22" s="105"/>
      <c r="E22" s="103"/>
      <c r="F22" s="104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29</v>
      </c>
      <c r="C23" s="111">
        <v>8.6</v>
      </c>
      <c r="D23" s="108"/>
      <c r="E23" s="103"/>
      <c r="F23" s="104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77</v>
      </c>
      <c r="C24" s="101">
        <v>9.6</v>
      </c>
      <c r="D24" s="110"/>
      <c r="E24" s="103"/>
      <c r="F24" s="104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70</v>
      </c>
      <c r="C25" s="101">
        <v>21.6</v>
      </c>
      <c r="D25" s="102"/>
      <c r="E25" s="103"/>
      <c r="F25" s="104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63</v>
      </c>
      <c r="C26" s="111">
        <v>24.6</v>
      </c>
      <c r="D26" s="105"/>
      <c r="E26" s="103"/>
      <c r="F26" s="110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69</v>
      </c>
      <c r="C27" s="101">
        <v>26.8</v>
      </c>
      <c r="D27" s="105"/>
      <c r="E27" s="103"/>
      <c r="F27" s="110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17" t="s">
        <v>84</v>
      </c>
      <c r="C28" s="118"/>
      <c r="D28" s="108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5850000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S30"/>
  <sheetViews>
    <sheetView showZeros="0" zoomScale="75" zoomScaleNormal="75" zoomScalePageLayoutView="0" workbookViewId="0" topLeftCell="A1">
      <selection activeCell="C3" sqref="C3:O3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137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140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7" s="107" customFormat="1" ht="18" customHeight="1">
      <c r="B5" s="100" t="s">
        <v>79</v>
      </c>
      <c r="C5" s="101">
        <v>5.7</v>
      </c>
      <c r="D5" s="105">
        <v>34</v>
      </c>
      <c r="E5" s="112">
        <v>30</v>
      </c>
      <c r="F5" s="104"/>
      <c r="G5" s="105">
        <v>1</v>
      </c>
      <c r="H5" s="102">
        <v>10</v>
      </c>
      <c r="I5" s="106">
        <f aca="true" t="shared" si="0" ref="I5:I12">O7+J5</f>
        <v>1675000</v>
      </c>
      <c r="J5" s="122">
        <f aca="true" t="shared" si="1" ref="J5:J28">IF(F5&gt;0,$O$16,0)+IF(D5&gt;0,50000,0)</f>
        <v>50000</v>
      </c>
      <c r="K5" s="125"/>
      <c r="L5" s="125"/>
      <c r="M5" s="125"/>
      <c r="Q5" s="156"/>
    </row>
    <row r="6" spans="2:17" s="107" customFormat="1" ht="18" customHeight="1">
      <c r="B6" s="100" t="s">
        <v>64</v>
      </c>
      <c r="C6" s="101">
        <v>14.2</v>
      </c>
      <c r="D6" s="105">
        <v>34</v>
      </c>
      <c r="E6" s="103">
        <v>31</v>
      </c>
      <c r="F6" s="104"/>
      <c r="G6" s="105">
        <v>2</v>
      </c>
      <c r="H6" s="105">
        <v>8</v>
      </c>
      <c r="I6" s="106">
        <f t="shared" si="0"/>
        <v>1350000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/>
    </row>
    <row r="7" spans="2:17" s="107" customFormat="1" ht="18" customHeight="1">
      <c r="B7" s="100" t="s">
        <v>59</v>
      </c>
      <c r="C7" s="101">
        <v>21.4</v>
      </c>
      <c r="D7" s="105">
        <v>28</v>
      </c>
      <c r="E7" s="112">
        <v>34</v>
      </c>
      <c r="F7" s="104"/>
      <c r="G7" s="110">
        <v>3</v>
      </c>
      <c r="H7" s="110">
        <v>6</v>
      </c>
      <c r="I7" s="106">
        <f t="shared" si="0"/>
        <v>1025000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1625000</v>
      </c>
      <c r="Q7" s="156"/>
    </row>
    <row r="8" spans="2:19" s="107" customFormat="1" ht="18" customHeight="1">
      <c r="B8" s="100" t="s">
        <v>192</v>
      </c>
      <c r="C8" s="101">
        <v>17.8</v>
      </c>
      <c r="D8" s="105">
        <v>26</v>
      </c>
      <c r="E8" s="103">
        <v>40</v>
      </c>
      <c r="F8" s="104"/>
      <c r="G8" s="105">
        <v>4</v>
      </c>
      <c r="H8" s="105">
        <v>5</v>
      </c>
      <c r="I8" s="106">
        <f t="shared" si="0"/>
        <v>830000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1300000</v>
      </c>
      <c r="P8" s="114"/>
      <c r="Q8" s="156"/>
      <c r="R8" s="114"/>
      <c r="S8" s="115"/>
    </row>
    <row r="9" spans="2:17" s="107" customFormat="1" ht="18" customHeight="1">
      <c r="B9" s="100" t="s">
        <v>63</v>
      </c>
      <c r="C9" s="111">
        <v>24.6</v>
      </c>
      <c r="D9" s="110">
        <v>26</v>
      </c>
      <c r="E9" s="112">
        <v>35</v>
      </c>
      <c r="F9" s="104"/>
      <c r="G9" s="105">
        <v>5</v>
      </c>
      <c r="H9" s="105">
        <v>4</v>
      </c>
      <c r="I9" s="106">
        <f t="shared" si="0"/>
        <v>700000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975000</v>
      </c>
      <c r="Q9" s="156"/>
    </row>
    <row r="10" spans="2:17" s="107" customFormat="1" ht="18" customHeight="1">
      <c r="B10" s="100" t="s">
        <v>58</v>
      </c>
      <c r="C10" s="101">
        <v>24.4</v>
      </c>
      <c r="D10" s="108">
        <v>25</v>
      </c>
      <c r="E10" s="103">
        <v>34</v>
      </c>
      <c r="F10" s="116"/>
      <c r="G10" s="116">
        <v>6</v>
      </c>
      <c r="H10" s="116">
        <v>3</v>
      </c>
      <c r="I10" s="106">
        <f t="shared" si="0"/>
        <v>570000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780000</v>
      </c>
      <c r="Q10" s="156"/>
    </row>
    <row r="11" spans="2:17" s="107" customFormat="1" ht="18" customHeight="1">
      <c r="B11" s="100" t="s">
        <v>81</v>
      </c>
      <c r="C11" s="101">
        <v>31</v>
      </c>
      <c r="D11" s="105">
        <v>25</v>
      </c>
      <c r="E11" s="103">
        <v>42</v>
      </c>
      <c r="F11" s="104"/>
      <c r="G11" s="105">
        <v>7</v>
      </c>
      <c r="H11" s="105">
        <v>2</v>
      </c>
      <c r="I11" s="106">
        <f t="shared" si="0"/>
        <v>440000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650000</v>
      </c>
      <c r="Q11" s="156"/>
    </row>
    <row r="12" spans="2:17" s="107" customFormat="1" ht="18" customHeight="1">
      <c r="B12" s="100" t="s">
        <v>67</v>
      </c>
      <c r="C12" s="101">
        <v>17.7</v>
      </c>
      <c r="D12" s="105">
        <v>24</v>
      </c>
      <c r="E12" s="103">
        <v>38</v>
      </c>
      <c r="F12" s="104"/>
      <c r="G12" s="105">
        <v>8</v>
      </c>
      <c r="H12" s="105">
        <v>1</v>
      </c>
      <c r="I12" s="106">
        <f t="shared" si="0"/>
        <v>310000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520000</v>
      </c>
      <c r="Q12" s="156"/>
    </row>
    <row r="13" spans="2:17" s="107" customFormat="1" ht="18" customHeight="1">
      <c r="B13" s="100" t="s">
        <v>60</v>
      </c>
      <c r="C13" s="111">
        <v>23.7</v>
      </c>
      <c r="D13" s="102">
        <v>24</v>
      </c>
      <c r="E13" s="103">
        <v>37</v>
      </c>
      <c r="F13" s="104">
        <v>2.1</v>
      </c>
      <c r="G13" s="102"/>
      <c r="H13" s="105"/>
      <c r="I13" s="106">
        <f aca="true" t="shared" si="2" ref="I13:I28">J13</f>
        <v>440000</v>
      </c>
      <c r="J13" s="122">
        <f t="shared" si="1"/>
        <v>440000</v>
      </c>
      <c r="K13" s="131" t="s">
        <v>14</v>
      </c>
      <c r="L13" s="132"/>
      <c r="M13" s="133"/>
      <c r="N13" s="109">
        <v>2</v>
      </c>
      <c r="O13" s="106">
        <f>O15*6%</f>
        <v>390000</v>
      </c>
      <c r="Q13" s="156"/>
    </row>
    <row r="14" spans="2:17" s="107" customFormat="1" ht="18" customHeight="1">
      <c r="B14" s="100" t="s">
        <v>83</v>
      </c>
      <c r="C14" s="111">
        <v>7.9</v>
      </c>
      <c r="D14" s="108">
        <v>23</v>
      </c>
      <c r="E14" s="103">
        <v>34</v>
      </c>
      <c r="F14" s="104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260000</v>
      </c>
      <c r="Q14" s="156"/>
    </row>
    <row r="15" spans="2:17" s="107" customFormat="1" ht="18" customHeight="1">
      <c r="B15" s="117" t="s">
        <v>65</v>
      </c>
      <c r="C15" s="118">
        <v>10.7</v>
      </c>
      <c r="D15" s="108">
        <v>21</v>
      </c>
      <c r="E15" s="112">
        <v>36</v>
      </c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6500000</v>
      </c>
      <c r="Q15" s="156"/>
    </row>
    <row r="16" spans="2:17" s="107" customFormat="1" ht="18" customHeight="1">
      <c r="B16" s="100" t="s">
        <v>66</v>
      </c>
      <c r="C16" s="101">
        <v>16.5</v>
      </c>
      <c r="D16" s="105">
        <v>20</v>
      </c>
      <c r="E16" s="103">
        <v>41</v>
      </c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390000</v>
      </c>
      <c r="Q16" s="156"/>
    </row>
    <row r="17" spans="2:17" s="107" customFormat="1" ht="18" customHeight="1">
      <c r="B17" s="100" t="s">
        <v>80</v>
      </c>
      <c r="C17" s="101">
        <v>19.1</v>
      </c>
      <c r="D17" s="105">
        <v>20</v>
      </c>
      <c r="E17" s="103">
        <v>38</v>
      </c>
      <c r="F17" s="110"/>
      <c r="G17" s="110"/>
      <c r="H17" s="110"/>
      <c r="I17" s="106">
        <f t="shared" si="2"/>
        <v>50000</v>
      </c>
      <c r="J17" s="122">
        <f t="shared" si="1"/>
        <v>50000</v>
      </c>
      <c r="Q17" s="156"/>
    </row>
    <row r="18" spans="2:19" s="107" customFormat="1" ht="18" customHeight="1">
      <c r="B18" s="100" t="s">
        <v>29</v>
      </c>
      <c r="C18" s="111">
        <v>8.6</v>
      </c>
      <c r="D18" s="105"/>
      <c r="E18" s="103"/>
      <c r="F18" s="110"/>
      <c r="G18" s="110"/>
      <c r="H18" s="110"/>
      <c r="I18" s="106">
        <f t="shared" si="2"/>
        <v>0</v>
      </c>
      <c r="J18" s="122">
        <f t="shared" si="1"/>
        <v>0</v>
      </c>
      <c r="P18" s="114"/>
      <c r="Q18" s="156">
        <f>E18*18/12</f>
        <v>0</v>
      </c>
      <c r="R18" s="114"/>
      <c r="S18" s="115"/>
    </row>
    <row r="19" spans="2:19" s="107" customFormat="1" ht="18" customHeight="1">
      <c r="B19" s="100" t="s">
        <v>61</v>
      </c>
      <c r="C19" s="101">
        <v>8.6</v>
      </c>
      <c r="D19" s="108"/>
      <c r="E19" s="103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>
        <f>E19*18/12</f>
        <v>0</v>
      </c>
      <c r="R19" s="115"/>
      <c r="S19" s="115"/>
    </row>
    <row r="20" spans="2:19" s="107" customFormat="1" ht="18" customHeight="1">
      <c r="B20" s="100" t="s">
        <v>77</v>
      </c>
      <c r="C20" s="101">
        <v>9.6</v>
      </c>
      <c r="D20" s="105"/>
      <c r="E20" s="112"/>
      <c r="F20" s="104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1300000</v>
      </c>
      <c r="P20" s="115"/>
      <c r="Q20" s="115"/>
      <c r="R20" s="115"/>
      <c r="S20" s="115"/>
    </row>
    <row r="21" spans="2:15" s="4" customFormat="1" ht="18" customHeight="1">
      <c r="B21" s="117" t="s">
        <v>30</v>
      </c>
      <c r="C21" s="118">
        <v>10.6</v>
      </c>
      <c r="D21" s="110"/>
      <c r="E21" s="103"/>
      <c r="F21" s="110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975000</v>
      </c>
    </row>
    <row r="22" spans="2:15" s="4" customFormat="1" ht="18" customHeight="1">
      <c r="B22" s="100" t="s">
        <v>78</v>
      </c>
      <c r="C22" s="101">
        <v>16.1</v>
      </c>
      <c r="D22" s="105"/>
      <c r="E22" s="103"/>
      <c r="F22" s="110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650000</v>
      </c>
    </row>
    <row r="23" spans="2:15" s="4" customFormat="1" ht="18" customHeight="1">
      <c r="B23" s="100" t="s">
        <v>68</v>
      </c>
      <c r="C23" s="101">
        <v>19.9</v>
      </c>
      <c r="D23" s="105"/>
      <c r="E23" s="112"/>
      <c r="F23" s="110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325000</v>
      </c>
    </row>
    <row r="24" spans="2:15" s="4" customFormat="1" ht="18" customHeight="1">
      <c r="B24" s="100" t="s">
        <v>70</v>
      </c>
      <c r="C24" s="101">
        <v>21.6</v>
      </c>
      <c r="D24" s="108"/>
      <c r="E24" s="103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62</v>
      </c>
      <c r="C25" s="101">
        <v>24.2</v>
      </c>
      <c r="D25" s="112"/>
      <c r="E25" s="103"/>
      <c r="F25" s="110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69</v>
      </c>
      <c r="C26" s="101">
        <v>26.8</v>
      </c>
      <c r="D26" s="105"/>
      <c r="E26" s="103"/>
      <c r="F26" s="110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82</v>
      </c>
      <c r="C27" s="101"/>
      <c r="D27" s="105"/>
      <c r="E27" s="112"/>
      <c r="F27" s="104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1088750</v>
      </c>
    </row>
    <row r="28" spans="2:15" s="4" customFormat="1" ht="18" customHeight="1">
      <c r="B28" s="117" t="s">
        <v>84</v>
      </c>
      <c r="C28" s="118"/>
      <c r="D28" s="108"/>
      <c r="E28" s="112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536250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7540000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S30"/>
  <sheetViews>
    <sheetView showZeros="0" zoomScale="75" zoomScaleNormal="75" zoomScalePageLayoutView="0" workbookViewId="0" topLeftCell="A1">
      <selection activeCell="Q4" sqref="Q4:Q28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129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130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7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  <c r="Q4" s="7" t="s">
        <v>136</v>
      </c>
    </row>
    <row r="5" spans="2:17" s="107" customFormat="1" ht="18" customHeight="1">
      <c r="B5" s="100" t="s">
        <v>63</v>
      </c>
      <c r="C5" s="111">
        <v>25.4</v>
      </c>
      <c r="D5" s="105">
        <v>24</v>
      </c>
      <c r="E5" s="112">
        <v>22</v>
      </c>
      <c r="F5" s="104"/>
      <c r="G5" s="105">
        <v>1</v>
      </c>
      <c r="H5" s="102">
        <v>10</v>
      </c>
      <c r="I5" s="106">
        <f aca="true" t="shared" si="0" ref="I5:I12">O7+J5</f>
        <v>1300000</v>
      </c>
      <c r="J5" s="122">
        <f aca="true" t="shared" si="1" ref="J5:J28">IF(F5&gt;0,$O$16,0)+IF(D5&gt;0,50000,0)</f>
        <v>50000</v>
      </c>
      <c r="K5" s="125"/>
      <c r="L5" s="125"/>
      <c r="M5" s="125"/>
      <c r="Q5" s="156">
        <f>E5*18/12</f>
        <v>33</v>
      </c>
    </row>
    <row r="6" spans="2:17" s="107" customFormat="1" ht="18" customHeight="1">
      <c r="B6" s="100" t="s">
        <v>29</v>
      </c>
      <c r="C6" s="111">
        <v>8.6</v>
      </c>
      <c r="D6" s="105">
        <v>23</v>
      </c>
      <c r="E6" s="103">
        <v>23</v>
      </c>
      <c r="F6" s="104"/>
      <c r="G6" s="105">
        <v>2</v>
      </c>
      <c r="H6" s="105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156">
        <f aca="true" t="shared" si="2" ref="Q6:Q19">E6*18/12</f>
        <v>34.5</v>
      </c>
    </row>
    <row r="7" spans="2:17" s="107" customFormat="1" ht="18" customHeight="1">
      <c r="B7" s="100" t="s">
        <v>61</v>
      </c>
      <c r="C7" s="101">
        <v>8.6</v>
      </c>
      <c r="D7" s="108">
        <v>23</v>
      </c>
      <c r="E7" s="103">
        <v>23</v>
      </c>
      <c r="F7" s="104">
        <v>4.91</v>
      </c>
      <c r="G7" s="110">
        <v>3</v>
      </c>
      <c r="H7" s="110">
        <v>6</v>
      </c>
      <c r="I7" s="106">
        <f t="shared" si="0"/>
        <v>1100000</v>
      </c>
      <c r="J7" s="122">
        <f t="shared" si="1"/>
        <v>350000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156">
        <f t="shared" si="2"/>
        <v>34.5</v>
      </c>
    </row>
    <row r="8" spans="2:19" s="107" customFormat="1" ht="18" customHeight="1">
      <c r="B8" s="100" t="s">
        <v>81</v>
      </c>
      <c r="C8" s="101">
        <v>31</v>
      </c>
      <c r="D8" s="105">
        <v>23</v>
      </c>
      <c r="E8" s="112">
        <v>22</v>
      </c>
      <c r="F8" s="104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56">
        <f t="shared" si="2"/>
        <v>33</v>
      </c>
      <c r="R8" s="114"/>
      <c r="S8" s="115"/>
    </row>
    <row r="9" spans="2:17" s="107" customFormat="1" ht="18" customHeight="1">
      <c r="B9" s="100" t="s">
        <v>78</v>
      </c>
      <c r="C9" s="101">
        <v>16.1</v>
      </c>
      <c r="D9" s="110">
        <v>19</v>
      </c>
      <c r="E9" s="103">
        <v>25</v>
      </c>
      <c r="F9" s="104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156">
        <f t="shared" si="2"/>
        <v>37.5</v>
      </c>
    </row>
    <row r="10" spans="2:17" s="107" customFormat="1" ht="18" customHeight="1">
      <c r="B10" s="100" t="s">
        <v>60</v>
      </c>
      <c r="C10" s="111">
        <v>23.7</v>
      </c>
      <c r="D10" s="108">
        <v>19</v>
      </c>
      <c r="E10" s="112">
        <v>25</v>
      </c>
      <c r="F10" s="116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156">
        <f t="shared" si="2"/>
        <v>37.5</v>
      </c>
    </row>
    <row r="11" spans="2:17" s="107" customFormat="1" ht="18" customHeight="1">
      <c r="B11" s="117" t="s">
        <v>65</v>
      </c>
      <c r="C11" s="118">
        <v>10.7</v>
      </c>
      <c r="D11" s="105">
        <v>18</v>
      </c>
      <c r="E11" s="103">
        <v>20</v>
      </c>
      <c r="F11" s="104"/>
      <c r="G11" s="105">
        <v>7</v>
      </c>
      <c r="H11" s="105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156">
        <f t="shared" si="2"/>
        <v>30</v>
      </c>
    </row>
    <row r="12" spans="2:17" s="107" customFormat="1" ht="18" customHeight="1">
      <c r="B12" s="100" t="s">
        <v>67</v>
      </c>
      <c r="C12" s="101">
        <v>17.7</v>
      </c>
      <c r="D12" s="105">
        <v>18</v>
      </c>
      <c r="E12" s="103">
        <v>22</v>
      </c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156">
        <f t="shared" si="2"/>
        <v>33</v>
      </c>
    </row>
    <row r="13" spans="2:17" s="107" customFormat="1" ht="18" customHeight="1">
      <c r="B13" s="100" t="s">
        <v>59</v>
      </c>
      <c r="C13" s="101">
        <v>21.4</v>
      </c>
      <c r="D13" s="105">
        <v>18</v>
      </c>
      <c r="E13" s="103">
        <v>25</v>
      </c>
      <c r="F13" s="104"/>
      <c r="G13" s="102"/>
      <c r="H13" s="105"/>
      <c r="I13" s="106">
        <f aca="true" t="shared" si="3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156">
        <f t="shared" si="2"/>
        <v>37.5</v>
      </c>
    </row>
    <row r="14" spans="2:17" s="107" customFormat="1" ht="18" customHeight="1">
      <c r="B14" s="100" t="s">
        <v>192</v>
      </c>
      <c r="C14" s="101">
        <v>17.8</v>
      </c>
      <c r="D14" s="105">
        <v>17</v>
      </c>
      <c r="E14" s="103">
        <v>23</v>
      </c>
      <c r="F14" s="104"/>
      <c r="G14" s="105"/>
      <c r="H14" s="105"/>
      <c r="I14" s="106">
        <f t="shared" si="3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156">
        <f t="shared" si="2"/>
        <v>34.5</v>
      </c>
    </row>
    <row r="15" spans="2:17" s="107" customFormat="1" ht="18" customHeight="1">
      <c r="B15" s="100" t="s">
        <v>79</v>
      </c>
      <c r="C15" s="101">
        <v>5.7</v>
      </c>
      <c r="D15" s="105">
        <v>16</v>
      </c>
      <c r="E15" s="103">
        <v>28</v>
      </c>
      <c r="F15" s="104"/>
      <c r="G15" s="105"/>
      <c r="H15" s="105"/>
      <c r="I15" s="106">
        <f t="shared" si="3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156">
        <f t="shared" si="2"/>
        <v>42</v>
      </c>
    </row>
    <row r="16" spans="2:17" s="107" customFormat="1" ht="18" customHeight="1">
      <c r="B16" s="100" t="s">
        <v>64</v>
      </c>
      <c r="C16" s="101">
        <v>14.2</v>
      </c>
      <c r="D16" s="105">
        <v>16</v>
      </c>
      <c r="E16" s="103">
        <v>25</v>
      </c>
      <c r="F16" s="104"/>
      <c r="G16" s="105"/>
      <c r="H16" s="105"/>
      <c r="I16" s="106">
        <f t="shared" si="3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156">
        <f t="shared" si="2"/>
        <v>37.5</v>
      </c>
    </row>
    <row r="17" spans="2:17" s="107" customFormat="1" ht="18" customHeight="1">
      <c r="B17" s="100" t="s">
        <v>80</v>
      </c>
      <c r="C17" s="101">
        <v>19.1</v>
      </c>
      <c r="D17" s="105">
        <v>15</v>
      </c>
      <c r="E17" s="112">
        <v>27</v>
      </c>
      <c r="F17" s="110"/>
      <c r="G17" s="110"/>
      <c r="H17" s="110"/>
      <c r="I17" s="106">
        <f t="shared" si="3"/>
        <v>50000</v>
      </c>
      <c r="J17" s="122">
        <f t="shared" si="1"/>
        <v>50000</v>
      </c>
      <c r="Q17" s="156">
        <f t="shared" si="2"/>
        <v>40.5</v>
      </c>
    </row>
    <row r="18" spans="2:19" s="107" customFormat="1" ht="18" customHeight="1">
      <c r="B18" s="100" t="s">
        <v>69</v>
      </c>
      <c r="C18" s="101">
        <v>26.8</v>
      </c>
      <c r="D18" s="105">
        <v>10</v>
      </c>
      <c r="E18" s="112">
        <v>28</v>
      </c>
      <c r="F18" s="110"/>
      <c r="G18" s="110"/>
      <c r="H18" s="110"/>
      <c r="I18" s="106">
        <f t="shared" si="3"/>
        <v>50000</v>
      </c>
      <c r="J18" s="122">
        <f t="shared" si="1"/>
        <v>50000</v>
      </c>
      <c r="P18" s="114"/>
      <c r="Q18" s="156">
        <f t="shared" si="2"/>
        <v>42</v>
      </c>
      <c r="R18" s="114"/>
      <c r="S18" s="115"/>
    </row>
    <row r="19" spans="2:19" s="107" customFormat="1" ht="18" customHeight="1">
      <c r="B19" s="100" t="s">
        <v>68</v>
      </c>
      <c r="C19" s="101">
        <v>19.9</v>
      </c>
      <c r="D19" s="108">
        <v>5</v>
      </c>
      <c r="E19" s="103">
        <v>31</v>
      </c>
      <c r="F19" s="104"/>
      <c r="G19" s="105"/>
      <c r="H19" s="105"/>
      <c r="I19" s="106">
        <f t="shared" si="3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56">
        <f t="shared" si="2"/>
        <v>46.5</v>
      </c>
      <c r="R19" s="115"/>
      <c r="S19" s="115"/>
    </row>
    <row r="20" spans="2:19" s="107" customFormat="1" ht="18" customHeight="1">
      <c r="B20" s="100" t="s">
        <v>77</v>
      </c>
      <c r="C20" s="101">
        <v>9.6</v>
      </c>
      <c r="D20" s="102"/>
      <c r="E20" s="103"/>
      <c r="F20" s="104"/>
      <c r="G20" s="105"/>
      <c r="H20" s="105"/>
      <c r="I20" s="106">
        <f t="shared" si="3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17" t="s">
        <v>30</v>
      </c>
      <c r="C21" s="118">
        <v>10.6</v>
      </c>
      <c r="D21" s="112"/>
      <c r="E21" s="103"/>
      <c r="F21" s="110"/>
      <c r="G21" s="110"/>
      <c r="H21" s="110"/>
      <c r="I21" s="106">
        <f t="shared" si="3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66</v>
      </c>
      <c r="C22" s="101">
        <v>16.5</v>
      </c>
      <c r="D22" s="108"/>
      <c r="E22" s="103"/>
      <c r="F22" s="110"/>
      <c r="G22" s="110"/>
      <c r="H22" s="110"/>
      <c r="I22" s="106">
        <f t="shared" si="3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70</v>
      </c>
      <c r="C23" s="101">
        <v>21.6</v>
      </c>
      <c r="D23" s="110"/>
      <c r="E23" s="112"/>
      <c r="F23" s="110"/>
      <c r="G23" s="110"/>
      <c r="H23" s="110"/>
      <c r="I23" s="106">
        <f t="shared" si="3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62</v>
      </c>
      <c r="C24" s="101">
        <v>24.2</v>
      </c>
      <c r="D24" s="105"/>
      <c r="E24" s="103"/>
      <c r="F24" s="110"/>
      <c r="G24" s="110"/>
      <c r="H24" s="110"/>
      <c r="I24" s="106">
        <f t="shared" si="3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58</v>
      </c>
      <c r="C25" s="101">
        <v>24.4</v>
      </c>
      <c r="D25" s="105"/>
      <c r="E25" s="103"/>
      <c r="F25" s="110"/>
      <c r="G25" s="110"/>
      <c r="H25" s="110"/>
      <c r="I25" s="106">
        <f t="shared" si="3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00" t="s">
        <v>82</v>
      </c>
      <c r="C26" s="101"/>
      <c r="D26" s="105"/>
      <c r="E26" s="112"/>
      <c r="F26" s="110"/>
      <c r="G26" s="110"/>
      <c r="H26" s="110"/>
      <c r="I26" s="106">
        <f t="shared" si="3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17" t="s">
        <v>84</v>
      </c>
      <c r="C27" s="118"/>
      <c r="D27" s="108"/>
      <c r="E27" s="112"/>
      <c r="F27" s="104"/>
      <c r="G27" s="105"/>
      <c r="H27" s="105"/>
      <c r="I27" s="106">
        <f t="shared" si="3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00" t="s">
        <v>83</v>
      </c>
      <c r="C28" s="111"/>
      <c r="D28" s="108"/>
      <c r="E28" s="103"/>
      <c r="F28" s="104"/>
      <c r="G28" s="105"/>
      <c r="H28" s="105"/>
      <c r="I28" s="106">
        <f t="shared" si="3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6050000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S30"/>
  <sheetViews>
    <sheetView showZeros="0" zoomScale="75" zoomScaleNormal="75" zoomScalePageLayoutView="0" workbookViewId="0" topLeftCell="A1">
      <selection activeCell="Q20" sqref="Q20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74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76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3" s="107" customFormat="1" ht="18" customHeight="1">
      <c r="B5" s="117" t="s">
        <v>30</v>
      </c>
      <c r="C5" s="118">
        <v>10.6</v>
      </c>
      <c r="D5" s="108">
        <v>17</v>
      </c>
      <c r="E5" s="103"/>
      <c r="F5" s="104"/>
      <c r="G5" s="105">
        <v>1</v>
      </c>
      <c r="H5" s="102">
        <v>10</v>
      </c>
      <c r="I5" s="106">
        <f aca="true" t="shared" si="0" ref="I5:I12">O7+J5</f>
        <v>1300000</v>
      </c>
      <c r="J5" s="122">
        <f>IF(F5&gt;0,$O$16,0)+IF(D5&gt;0,50000,0)</f>
        <v>50000</v>
      </c>
      <c r="K5" s="125"/>
      <c r="L5" s="125"/>
      <c r="M5" s="125"/>
    </row>
    <row r="6" spans="2:15" s="107" customFormat="1" ht="18" customHeight="1">
      <c r="B6" s="100" t="s">
        <v>78</v>
      </c>
      <c r="C6" s="101">
        <v>16.1</v>
      </c>
      <c r="D6" s="105">
        <v>17</v>
      </c>
      <c r="E6" s="103"/>
      <c r="F6" s="104"/>
      <c r="G6" s="105">
        <v>2</v>
      </c>
      <c r="H6" s="105">
        <v>8</v>
      </c>
      <c r="I6" s="106">
        <f t="shared" si="0"/>
        <v>1050000</v>
      </c>
      <c r="J6" s="122">
        <f aca="true" t="shared" si="1" ref="J6:J28">IF(F6&gt;0,$O$16,0)+IF(D6&gt;0,50000,0)</f>
        <v>50000</v>
      </c>
      <c r="K6" s="126" t="s">
        <v>6</v>
      </c>
      <c r="L6" s="127"/>
      <c r="M6" s="113"/>
      <c r="N6" s="109" t="s">
        <v>5</v>
      </c>
      <c r="O6" s="110" t="s">
        <v>4</v>
      </c>
    </row>
    <row r="7" spans="2:15" s="107" customFormat="1" ht="18" customHeight="1">
      <c r="B7" s="100" t="s">
        <v>58</v>
      </c>
      <c r="C7" s="101">
        <v>24.4</v>
      </c>
      <c r="D7" s="102">
        <v>16</v>
      </c>
      <c r="E7" s="103"/>
      <c r="F7" s="104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</row>
    <row r="8" spans="2:19" s="107" customFormat="1" ht="18" customHeight="1">
      <c r="B8" s="100" t="s">
        <v>29</v>
      </c>
      <c r="C8" s="111">
        <v>8.6</v>
      </c>
      <c r="D8" s="112">
        <v>15</v>
      </c>
      <c r="E8" s="103"/>
      <c r="F8" s="104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14"/>
      <c r="R8" s="114"/>
      <c r="S8" s="115"/>
    </row>
    <row r="9" spans="2:15" s="107" customFormat="1" ht="18" customHeight="1">
      <c r="B9" s="100" t="s">
        <v>59</v>
      </c>
      <c r="C9" s="101">
        <v>21.4</v>
      </c>
      <c r="D9" s="105">
        <v>15</v>
      </c>
      <c r="E9" s="103"/>
      <c r="F9" s="104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</row>
    <row r="10" spans="2:15" s="107" customFormat="1" ht="18" customHeight="1">
      <c r="B10" s="100" t="s">
        <v>60</v>
      </c>
      <c r="C10" s="111">
        <v>23.7</v>
      </c>
      <c r="D10" s="105">
        <v>15</v>
      </c>
      <c r="E10" s="103"/>
      <c r="F10" s="116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</row>
    <row r="11" spans="2:15" s="107" customFormat="1" ht="18" customHeight="1">
      <c r="B11" s="100" t="s">
        <v>64</v>
      </c>
      <c r="C11" s="101">
        <v>14.2</v>
      </c>
      <c r="D11" s="110">
        <v>14</v>
      </c>
      <c r="E11" s="103"/>
      <c r="F11" s="104"/>
      <c r="G11" s="105">
        <v>7</v>
      </c>
      <c r="H11" s="105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</row>
    <row r="12" spans="2:15" s="107" customFormat="1" ht="18" customHeight="1">
      <c r="B12" s="117" t="s">
        <v>65</v>
      </c>
      <c r="C12" s="118">
        <v>10.7</v>
      </c>
      <c r="D12" s="108">
        <v>13</v>
      </c>
      <c r="E12" s="103"/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</row>
    <row r="13" spans="2:15" s="107" customFormat="1" ht="18" customHeight="1">
      <c r="B13" s="100" t="s">
        <v>77</v>
      </c>
      <c r="C13" s="101">
        <v>9.6</v>
      </c>
      <c r="D13" s="105">
        <v>12</v>
      </c>
      <c r="E13" s="103"/>
      <c r="F13" s="104"/>
      <c r="G13" s="102"/>
      <c r="H13" s="105"/>
      <c r="I13" s="106">
        <f aca="true" t="shared" si="2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</row>
    <row r="14" spans="2:15" s="107" customFormat="1" ht="18" customHeight="1">
      <c r="B14" s="100" t="s">
        <v>67</v>
      </c>
      <c r="C14" s="101">
        <v>17.7</v>
      </c>
      <c r="D14" s="105">
        <v>12</v>
      </c>
      <c r="E14" s="103"/>
      <c r="F14" s="104"/>
      <c r="G14" s="105"/>
      <c r="H14" s="105"/>
      <c r="I14" s="106">
        <f t="shared" si="2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</row>
    <row r="15" spans="2:15" s="107" customFormat="1" ht="18" customHeight="1">
      <c r="B15" s="100" t="s">
        <v>61</v>
      </c>
      <c r="C15" s="101">
        <v>8.5</v>
      </c>
      <c r="D15" s="108"/>
      <c r="E15" s="103"/>
      <c r="F15" s="104"/>
      <c r="G15" s="105"/>
      <c r="H15" s="105"/>
      <c r="I15" s="106">
        <f t="shared" si="2"/>
        <v>0</v>
      </c>
      <c r="J15" s="122">
        <f t="shared" si="1"/>
        <v>0</v>
      </c>
      <c r="K15" s="136" t="s">
        <v>3</v>
      </c>
      <c r="L15" s="132"/>
      <c r="M15" s="133"/>
      <c r="N15" s="109"/>
      <c r="O15" s="119">
        <v>5000000</v>
      </c>
    </row>
    <row r="16" spans="2:15" s="107" customFormat="1" ht="18" customHeight="1">
      <c r="B16" s="100" t="s">
        <v>66</v>
      </c>
      <c r="C16" s="101">
        <v>16.5</v>
      </c>
      <c r="D16" s="105"/>
      <c r="E16" s="103"/>
      <c r="F16" s="104"/>
      <c r="G16" s="105"/>
      <c r="H16" s="105"/>
      <c r="I16" s="106">
        <f t="shared" si="2"/>
        <v>0</v>
      </c>
      <c r="J16" s="122">
        <f t="shared" si="1"/>
        <v>0</v>
      </c>
      <c r="K16" s="136" t="s">
        <v>128</v>
      </c>
      <c r="L16" s="132"/>
      <c r="M16" s="133"/>
      <c r="N16" s="109">
        <v>1</v>
      </c>
      <c r="O16" s="106">
        <f>O13</f>
        <v>300000</v>
      </c>
    </row>
    <row r="17" spans="2:10" s="107" customFormat="1" ht="18" customHeight="1">
      <c r="B17" s="100" t="s">
        <v>192</v>
      </c>
      <c r="C17" s="101">
        <v>17.9</v>
      </c>
      <c r="D17" s="110"/>
      <c r="E17" s="112"/>
      <c r="F17" s="110"/>
      <c r="G17" s="110"/>
      <c r="H17" s="110"/>
      <c r="I17" s="106">
        <f t="shared" si="2"/>
        <v>0</v>
      </c>
      <c r="J17" s="122">
        <f t="shared" si="1"/>
        <v>0</v>
      </c>
    </row>
    <row r="18" spans="2:19" s="107" customFormat="1" ht="18" customHeight="1">
      <c r="B18" s="100" t="s">
        <v>68</v>
      </c>
      <c r="C18" s="101">
        <v>19.9</v>
      </c>
      <c r="D18" s="108"/>
      <c r="E18" s="112"/>
      <c r="F18" s="110"/>
      <c r="G18" s="110"/>
      <c r="H18" s="110"/>
      <c r="I18" s="106">
        <f t="shared" si="2"/>
        <v>0</v>
      </c>
      <c r="J18" s="122">
        <f t="shared" si="1"/>
        <v>0</v>
      </c>
      <c r="P18" s="114"/>
      <c r="Q18" s="114"/>
      <c r="R18" s="114"/>
      <c r="S18" s="115"/>
    </row>
    <row r="19" spans="2:19" s="107" customFormat="1" ht="18" customHeight="1">
      <c r="B19" s="100" t="s">
        <v>70</v>
      </c>
      <c r="C19" s="101">
        <v>21.6</v>
      </c>
      <c r="D19" s="105"/>
      <c r="E19" s="103"/>
      <c r="F19" s="104"/>
      <c r="G19" s="105"/>
      <c r="H19" s="105"/>
      <c r="I19" s="106">
        <f t="shared" si="2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15"/>
      <c r="R19" s="115"/>
      <c r="S19" s="115"/>
    </row>
    <row r="20" spans="2:19" s="107" customFormat="1" ht="18" customHeight="1">
      <c r="B20" s="100" t="s">
        <v>62</v>
      </c>
      <c r="C20" s="101">
        <v>24.2</v>
      </c>
      <c r="D20" s="105"/>
      <c r="E20" s="103"/>
      <c r="F20" s="104"/>
      <c r="G20" s="105"/>
      <c r="H20" s="105"/>
      <c r="I20" s="106">
        <f t="shared" si="2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63</v>
      </c>
      <c r="C21" s="111">
        <v>24.4</v>
      </c>
      <c r="D21" s="105"/>
      <c r="E21" s="112"/>
      <c r="F21" s="110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69</v>
      </c>
      <c r="C22" s="101">
        <v>26.8</v>
      </c>
      <c r="D22" s="105"/>
      <c r="E22" s="112"/>
      <c r="F22" s="110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82</v>
      </c>
      <c r="C23" s="101"/>
      <c r="D23" s="105"/>
      <c r="E23" s="112"/>
      <c r="F23" s="110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81</v>
      </c>
      <c r="C24" s="101"/>
      <c r="D24" s="105"/>
      <c r="E24" s="112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80</v>
      </c>
      <c r="C25" s="101"/>
      <c r="D25" s="105"/>
      <c r="E25" s="112"/>
      <c r="F25" s="110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17" t="s">
        <v>84</v>
      </c>
      <c r="C26" s="118"/>
      <c r="D26" s="108"/>
      <c r="E26" s="112"/>
      <c r="F26" s="110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79</v>
      </c>
      <c r="C27" s="101"/>
      <c r="D27" s="105"/>
      <c r="E27" s="103"/>
      <c r="F27" s="104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00" t="s">
        <v>83</v>
      </c>
      <c r="C28" s="111"/>
      <c r="D28" s="108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5500000</v>
      </c>
      <c r="J29" s="123"/>
    </row>
    <row r="30" spans="2:10" ht="24" customHeight="1" thickTop="1">
      <c r="B30" s="1"/>
      <c r="C30" s="2"/>
      <c r="D30" s="3"/>
      <c r="E30" s="2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S29"/>
  <sheetViews>
    <sheetView showGridLines="0" showZeros="0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9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18.75" customHeight="1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75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5" s="4" customFormat="1" ht="29.25" customHeight="1">
      <c r="C3" s="250" t="s">
        <v>71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s="7" customFormat="1" ht="27" customHeight="1">
      <c r="B4" s="5" t="s">
        <v>0</v>
      </c>
      <c r="C4" s="6" t="s">
        <v>1</v>
      </c>
      <c r="D4" s="6" t="s">
        <v>7</v>
      </c>
      <c r="E4" s="6" t="s">
        <v>2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</row>
    <row r="5" spans="2:13" s="107" customFormat="1" ht="18" customHeight="1">
      <c r="B5" s="100" t="s">
        <v>58</v>
      </c>
      <c r="C5" s="101">
        <v>24.4</v>
      </c>
      <c r="D5" s="102">
        <v>21</v>
      </c>
      <c r="E5" s="103"/>
      <c r="F5" s="104"/>
      <c r="G5" s="105">
        <v>1</v>
      </c>
      <c r="H5" s="102">
        <v>10</v>
      </c>
      <c r="I5" s="106">
        <f aca="true" t="shared" si="0" ref="I5:I12">O7+J5</f>
        <v>1300000</v>
      </c>
      <c r="J5" s="122">
        <f>IF(F5&gt;0,$O$16,0)+IF(D5&gt;0,50000,0)</f>
        <v>50000</v>
      </c>
      <c r="K5" s="125"/>
      <c r="L5" s="125"/>
      <c r="M5" s="125"/>
    </row>
    <row r="6" spans="2:15" s="107" customFormat="1" ht="18" customHeight="1">
      <c r="B6" s="100" t="s">
        <v>61</v>
      </c>
      <c r="C6" s="101">
        <v>8.6</v>
      </c>
      <c r="D6" s="108">
        <v>17</v>
      </c>
      <c r="E6" s="103"/>
      <c r="F6" s="104"/>
      <c r="G6" s="105">
        <v>2</v>
      </c>
      <c r="H6" s="105">
        <v>8</v>
      </c>
      <c r="I6" s="106">
        <f t="shared" si="0"/>
        <v>1050000</v>
      </c>
      <c r="J6" s="122">
        <f aca="true" t="shared" si="1" ref="J6:J28">IF(F6&gt;0,$O$16,0)+IF(D6&gt;0,50000,0)</f>
        <v>50000</v>
      </c>
      <c r="K6" s="126" t="s">
        <v>6</v>
      </c>
      <c r="L6" s="127"/>
      <c r="M6" s="113"/>
      <c r="N6" s="109" t="s">
        <v>5</v>
      </c>
      <c r="O6" s="110" t="s">
        <v>4</v>
      </c>
    </row>
    <row r="7" spans="2:15" s="107" customFormat="1" ht="18" customHeight="1">
      <c r="B7" s="100" t="s">
        <v>29</v>
      </c>
      <c r="C7" s="111">
        <v>8.6</v>
      </c>
      <c r="D7" s="112">
        <v>17</v>
      </c>
      <c r="E7" s="103"/>
      <c r="F7" s="104"/>
      <c r="G7" s="110">
        <v>3</v>
      </c>
      <c r="H7" s="110">
        <v>6</v>
      </c>
      <c r="I7" s="106">
        <f t="shared" si="0"/>
        <v>800000</v>
      </c>
      <c r="J7" s="122">
        <f t="shared" si="1"/>
        <v>50000</v>
      </c>
      <c r="K7" s="128" t="s">
        <v>8</v>
      </c>
      <c r="L7" s="129"/>
      <c r="M7" s="130"/>
      <c r="N7" s="113">
        <v>10</v>
      </c>
      <c r="O7" s="106">
        <f>O15*25%</f>
        <v>1250000</v>
      </c>
    </row>
    <row r="8" spans="2:19" s="107" customFormat="1" ht="18" customHeight="1">
      <c r="B8" s="100" t="s">
        <v>59</v>
      </c>
      <c r="C8" s="101">
        <v>21.4</v>
      </c>
      <c r="D8" s="105">
        <v>17</v>
      </c>
      <c r="E8" s="103"/>
      <c r="F8" s="104"/>
      <c r="G8" s="105">
        <v>4</v>
      </c>
      <c r="H8" s="105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114"/>
      <c r="R8" s="114"/>
      <c r="S8" s="115"/>
    </row>
    <row r="9" spans="2:15" s="107" customFormat="1" ht="18" customHeight="1">
      <c r="B9" s="100" t="s">
        <v>60</v>
      </c>
      <c r="C9" s="111">
        <v>23.7</v>
      </c>
      <c r="D9" s="105">
        <v>17</v>
      </c>
      <c r="E9" s="103"/>
      <c r="F9" s="104"/>
      <c r="G9" s="105">
        <v>5</v>
      </c>
      <c r="H9" s="105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</row>
    <row r="10" spans="2:15" s="107" customFormat="1" ht="18" customHeight="1">
      <c r="B10" s="100" t="s">
        <v>62</v>
      </c>
      <c r="C10" s="101">
        <v>24.2</v>
      </c>
      <c r="D10" s="105">
        <v>17</v>
      </c>
      <c r="E10" s="103"/>
      <c r="F10" s="116"/>
      <c r="G10" s="116">
        <v>6</v>
      </c>
      <c r="H10" s="116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</row>
    <row r="11" spans="2:15" s="107" customFormat="1" ht="18" customHeight="1">
      <c r="B11" s="117" t="s">
        <v>30</v>
      </c>
      <c r="C11" s="118">
        <v>10.6</v>
      </c>
      <c r="D11" s="108">
        <v>15</v>
      </c>
      <c r="E11" s="103"/>
      <c r="F11" s="104">
        <v>1.09</v>
      </c>
      <c r="G11" s="105">
        <v>7</v>
      </c>
      <c r="H11" s="105">
        <v>2</v>
      </c>
      <c r="I11" s="106">
        <f t="shared" si="0"/>
        <v>650000</v>
      </c>
      <c r="J11" s="122">
        <f t="shared" si="1"/>
        <v>350000</v>
      </c>
      <c r="K11" s="131" t="s">
        <v>12</v>
      </c>
      <c r="L11" s="132"/>
      <c r="M11" s="133"/>
      <c r="N11" s="109">
        <v>4</v>
      </c>
      <c r="O11" s="106">
        <f>O15*10%</f>
        <v>500000</v>
      </c>
    </row>
    <row r="12" spans="2:15" s="107" customFormat="1" ht="18" customHeight="1">
      <c r="B12" s="100" t="s">
        <v>63</v>
      </c>
      <c r="C12" s="111">
        <v>24.4</v>
      </c>
      <c r="D12" s="105">
        <v>14</v>
      </c>
      <c r="E12" s="103"/>
      <c r="F12" s="104"/>
      <c r="G12" s="105">
        <v>8</v>
      </c>
      <c r="H12" s="105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</row>
    <row r="13" spans="2:15" s="107" customFormat="1" ht="18" customHeight="1">
      <c r="B13" s="100" t="s">
        <v>64</v>
      </c>
      <c r="C13" s="101">
        <v>14.2</v>
      </c>
      <c r="D13" s="110">
        <v>13</v>
      </c>
      <c r="E13" s="103"/>
      <c r="F13" s="104"/>
      <c r="G13" s="102"/>
      <c r="H13" s="105"/>
      <c r="I13" s="106">
        <f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</row>
    <row r="14" spans="2:15" s="107" customFormat="1" ht="18" customHeight="1">
      <c r="B14" s="100" t="s">
        <v>192</v>
      </c>
      <c r="C14" s="101">
        <v>17.9</v>
      </c>
      <c r="D14" s="110">
        <v>13</v>
      </c>
      <c r="E14" s="103"/>
      <c r="F14" s="104"/>
      <c r="G14" s="105"/>
      <c r="H14" s="105"/>
      <c r="I14" s="106">
        <f aca="true" t="shared" si="2" ref="I14:I28">J14</f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</row>
    <row r="15" spans="2:15" s="107" customFormat="1" ht="18" customHeight="1">
      <c r="B15" s="117" t="s">
        <v>65</v>
      </c>
      <c r="C15" s="118">
        <v>10.7</v>
      </c>
      <c r="D15" s="108">
        <v>11</v>
      </c>
      <c r="E15" s="103"/>
      <c r="F15" s="104"/>
      <c r="G15" s="105"/>
      <c r="H15" s="105"/>
      <c r="I15" s="106">
        <f t="shared" si="2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</row>
    <row r="16" spans="2:15" s="107" customFormat="1" ht="18" customHeight="1">
      <c r="B16" s="100" t="s">
        <v>66</v>
      </c>
      <c r="C16" s="101">
        <v>16.5</v>
      </c>
      <c r="D16" s="105">
        <v>11</v>
      </c>
      <c r="E16" s="103"/>
      <c r="F16" s="104"/>
      <c r="G16" s="105"/>
      <c r="H16" s="105"/>
      <c r="I16" s="106">
        <f t="shared" si="2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</row>
    <row r="17" spans="2:10" s="107" customFormat="1" ht="18" customHeight="1">
      <c r="B17" s="100" t="s">
        <v>67</v>
      </c>
      <c r="C17" s="101">
        <v>17.7</v>
      </c>
      <c r="D17" s="105">
        <v>10</v>
      </c>
      <c r="E17" s="112"/>
      <c r="F17" s="110"/>
      <c r="G17" s="110"/>
      <c r="H17" s="110"/>
      <c r="I17" s="106">
        <f t="shared" si="2"/>
        <v>50000</v>
      </c>
      <c r="J17" s="122">
        <f t="shared" si="1"/>
        <v>50000</v>
      </c>
    </row>
    <row r="18" spans="2:19" s="107" customFormat="1" ht="18" customHeight="1">
      <c r="B18" s="100" t="s">
        <v>68</v>
      </c>
      <c r="C18" s="101">
        <v>19.9</v>
      </c>
      <c r="D18" s="108">
        <v>10</v>
      </c>
      <c r="E18" s="112"/>
      <c r="F18" s="110"/>
      <c r="G18" s="110"/>
      <c r="H18" s="110"/>
      <c r="I18" s="106">
        <f t="shared" si="2"/>
        <v>50000</v>
      </c>
      <c r="J18" s="122">
        <f t="shared" si="1"/>
        <v>50000</v>
      </c>
      <c r="P18" s="114"/>
      <c r="Q18" s="114"/>
      <c r="R18" s="114"/>
      <c r="S18" s="115"/>
    </row>
    <row r="19" spans="2:19" s="107" customFormat="1" ht="18" customHeight="1">
      <c r="B19" s="100" t="s">
        <v>69</v>
      </c>
      <c r="C19" s="101">
        <v>26.8</v>
      </c>
      <c r="D19" s="105">
        <v>10</v>
      </c>
      <c r="E19" s="103"/>
      <c r="F19" s="104"/>
      <c r="G19" s="105"/>
      <c r="H19" s="105"/>
      <c r="I19" s="106">
        <f t="shared" si="2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115"/>
      <c r="R19" s="115"/>
      <c r="S19" s="115"/>
    </row>
    <row r="20" spans="2:19" s="107" customFormat="1" ht="18" customHeight="1">
      <c r="B20" s="100" t="s">
        <v>70</v>
      </c>
      <c r="C20" s="101">
        <v>21.6</v>
      </c>
      <c r="D20" s="105">
        <v>8</v>
      </c>
      <c r="E20" s="103"/>
      <c r="F20" s="104"/>
      <c r="G20" s="105"/>
      <c r="H20" s="105"/>
      <c r="I20" s="106">
        <f t="shared" si="2"/>
        <v>50000</v>
      </c>
      <c r="J20" s="122">
        <f t="shared" si="1"/>
        <v>50000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115"/>
      <c r="R20" s="115"/>
      <c r="S20" s="115"/>
    </row>
    <row r="21" spans="2:15" s="4" customFormat="1" ht="18" customHeight="1">
      <c r="B21" s="100" t="s">
        <v>82</v>
      </c>
      <c r="C21" s="101"/>
      <c r="D21" s="105"/>
      <c r="E21" s="112"/>
      <c r="F21" s="110"/>
      <c r="G21" s="110"/>
      <c r="H21" s="110"/>
      <c r="I21" s="106">
        <f t="shared" si="2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</row>
    <row r="22" spans="2:15" s="4" customFormat="1" ht="18" customHeight="1">
      <c r="B22" s="100" t="s">
        <v>81</v>
      </c>
      <c r="C22" s="101"/>
      <c r="D22" s="105"/>
      <c r="E22" s="112"/>
      <c r="F22" s="110"/>
      <c r="G22" s="110"/>
      <c r="H22" s="110"/>
      <c r="I22" s="106">
        <f t="shared" si="2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</row>
    <row r="23" spans="2:15" s="4" customFormat="1" ht="18" customHeight="1">
      <c r="B23" s="100" t="s">
        <v>80</v>
      </c>
      <c r="C23" s="101"/>
      <c r="D23" s="105"/>
      <c r="E23" s="112"/>
      <c r="F23" s="110"/>
      <c r="G23" s="110"/>
      <c r="H23" s="110"/>
      <c r="I23" s="106">
        <f t="shared" si="2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</row>
    <row r="24" spans="2:15" s="4" customFormat="1" ht="18" customHeight="1">
      <c r="B24" s="100" t="s">
        <v>77</v>
      </c>
      <c r="C24" s="101"/>
      <c r="D24" s="105"/>
      <c r="E24" s="112"/>
      <c r="F24" s="110"/>
      <c r="G24" s="110"/>
      <c r="H24" s="110"/>
      <c r="I24" s="106">
        <f t="shared" si="2"/>
        <v>0</v>
      </c>
      <c r="J24" s="122">
        <f t="shared" si="1"/>
        <v>0</v>
      </c>
      <c r="M24" s="120"/>
      <c r="N24" s="121"/>
      <c r="O24" s="121"/>
    </row>
    <row r="25" spans="2:15" s="4" customFormat="1" ht="18" customHeight="1">
      <c r="B25" s="100" t="s">
        <v>78</v>
      </c>
      <c r="C25" s="101"/>
      <c r="D25" s="105"/>
      <c r="E25" s="112"/>
      <c r="F25" s="110"/>
      <c r="G25" s="110"/>
      <c r="H25" s="110"/>
      <c r="I25" s="106">
        <f t="shared" si="2"/>
        <v>0</v>
      </c>
      <c r="J25" s="122">
        <f t="shared" si="1"/>
        <v>0</v>
      </c>
      <c r="M25" s="120"/>
      <c r="N25" s="121"/>
      <c r="O25" s="121"/>
    </row>
    <row r="26" spans="2:15" s="4" customFormat="1" ht="18" customHeight="1">
      <c r="B26" s="117" t="s">
        <v>84</v>
      </c>
      <c r="C26" s="118"/>
      <c r="D26" s="108"/>
      <c r="E26" s="112"/>
      <c r="F26" s="110"/>
      <c r="G26" s="110"/>
      <c r="H26" s="110"/>
      <c r="I26" s="106">
        <f t="shared" si="2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</row>
    <row r="27" spans="2:15" s="4" customFormat="1" ht="18" customHeight="1">
      <c r="B27" s="100" t="s">
        <v>79</v>
      </c>
      <c r="C27" s="101"/>
      <c r="D27" s="105"/>
      <c r="E27" s="103"/>
      <c r="F27" s="104"/>
      <c r="G27" s="105"/>
      <c r="H27" s="105"/>
      <c r="I27" s="106">
        <f t="shared" si="2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</row>
    <row r="28" spans="2:15" s="4" customFormat="1" ht="18" customHeight="1">
      <c r="B28" s="100" t="s">
        <v>83</v>
      </c>
      <c r="C28" s="111"/>
      <c r="D28" s="108"/>
      <c r="E28" s="103"/>
      <c r="F28" s="104"/>
      <c r="G28" s="105"/>
      <c r="H28" s="105"/>
      <c r="I28" s="106">
        <f t="shared" si="2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</row>
    <row r="29" spans="2:10" ht="24" customHeight="1" thickBot="1">
      <c r="B29" s="1"/>
      <c r="C29" s="2"/>
      <c r="D29" s="3"/>
      <c r="E29" s="2"/>
      <c r="F29" s="3"/>
      <c r="G29" s="2"/>
      <c r="H29" s="2"/>
      <c r="I29" s="82">
        <f>SUM(I5:I28)</f>
        <v>6100000</v>
      </c>
      <c r="J29" s="123"/>
    </row>
    <row r="30" ht="18.75" thickTop="1"/>
    <row r="31" ht="18"/>
    <row r="32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33"/>
  <sheetViews>
    <sheetView showZeros="0" zoomScale="85" zoomScaleNormal="85" zoomScalePageLayoutView="0" workbookViewId="0" topLeftCell="B1">
      <selection activeCell="AL18" sqref="AL18"/>
    </sheetView>
  </sheetViews>
  <sheetFormatPr defaultColWidth="9.140625" defaultRowHeight="12.75"/>
  <cols>
    <col min="1" max="1" width="4.00390625" style="29" hidden="1" customWidth="1"/>
    <col min="2" max="2" width="20.28125" style="29" bestFit="1" customWidth="1"/>
    <col min="3" max="3" width="15.140625" style="46" customWidth="1"/>
    <col min="4" max="12" width="3.8515625" style="46" customWidth="1"/>
    <col min="13" max="29" width="3.28125" style="37" customWidth="1"/>
    <col min="30" max="31" width="3.28125" style="37" hidden="1" customWidth="1"/>
    <col min="32" max="32" width="4.7109375" style="29" customWidth="1"/>
    <col min="33" max="33" width="4.7109375" style="29" hidden="1" customWidth="1"/>
    <col min="34" max="34" width="6.00390625" style="29" hidden="1" customWidth="1"/>
    <col min="35" max="35" width="4.7109375" style="29" hidden="1" customWidth="1"/>
    <col min="36" max="39" width="4.7109375" style="29" customWidth="1"/>
    <col min="40" max="16384" width="9.140625" style="29" customWidth="1"/>
  </cols>
  <sheetData>
    <row r="1" spans="3:31" ht="24.75" customHeight="1">
      <c r="C1" s="42" t="s">
        <v>116</v>
      </c>
      <c r="D1" s="42"/>
      <c r="E1" s="42"/>
      <c r="F1" s="42"/>
      <c r="G1" s="42"/>
      <c r="H1" s="42"/>
      <c r="I1" s="42"/>
      <c r="J1" s="42"/>
      <c r="K1" s="42"/>
      <c r="L1" s="4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2:36" s="30" customFormat="1" ht="93.75">
      <c r="B2" s="31"/>
      <c r="C2" s="44" t="s">
        <v>31</v>
      </c>
      <c r="D2" s="32" t="s">
        <v>115</v>
      </c>
      <c r="E2" s="32" t="s">
        <v>114</v>
      </c>
      <c r="F2" s="32" t="s">
        <v>113</v>
      </c>
      <c r="G2" s="32" t="s">
        <v>112</v>
      </c>
      <c r="H2" s="32" t="s">
        <v>111</v>
      </c>
      <c r="I2" s="32" t="s">
        <v>110</v>
      </c>
      <c r="J2" s="32" t="s">
        <v>109</v>
      </c>
      <c r="K2" s="32" t="s">
        <v>108</v>
      </c>
      <c r="L2" s="32" t="s">
        <v>106</v>
      </c>
      <c r="M2" s="32" t="s">
        <v>104</v>
      </c>
      <c r="N2" s="32" t="s">
        <v>103</v>
      </c>
      <c r="O2" s="32" t="s">
        <v>102</v>
      </c>
      <c r="P2" s="32" t="s">
        <v>101</v>
      </c>
      <c r="Q2" s="32" t="s">
        <v>100</v>
      </c>
      <c r="R2" s="32" t="s">
        <v>98</v>
      </c>
      <c r="S2" s="32" t="s">
        <v>97</v>
      </c>
      <c r="T2" s="32" t="s">
        <v>178</v>
      </c>
      <c r="U2" s="32" t="s">
        <v>96</v>
      </c>
      <c r="V2" s="32" t="s">
        <v>94</v>
      </c>
      <c r="W2" s="32" t="s">
        <v>93</v>
      </c>
      <c r="X2" s="32" t="s">
        <v>92</v>
      </c>
      <c r="Y2" s="32" t="s">
        <v>91</v>
      </c>
      <c r="Z2" s="32" t="s">
        <v>90</v>
      </c>
      <c r="AA2" s="32" t="s">
        <v>89</v>
      </c>
      <c r="AB2" s="32" t="s">
        <v>88</v>
      </c>
      <c r="AC2" s="32" t="s">
        <v>134</v>
      </c>
      <c r="AD2" s="32" t="s">
        <v>86</v>
      </c>
      <c r="AE2" s="32" t="s">
        <v>85</v>
      </c>
      <c r="AF2" s="32" t="s">
        <v>32</v>
      </c>
      <c r="AG2" s="32" t="s">
        <v>33</v>
      </c>
      <c r="AH2" s="32" t="s">
        <v>34</v>
      </c>
      <c r="AI2" s="32" t="s">
        <v>35</v>
      </c>
      <c r="AJ2" s="32" t="s">
        <v>248</v>
      </c>
    </row>
    <row r="3" spans="2:36" ht="15">
      <c r="B3" s="83" t="s">
        <v>127</v>
      </c>
      <c r="C3" s="84">
        <f>(SUM(D3:AE3)+AG3*37)/AH3</f>
        <v>29.61111111111111</v>
      </c>
      <c r="D3" s="88">
        <v>31</v>
      </c>
      <c r="E3" s="88">
        <v>27</v>
      </c>
      <c r="F3" s="88">
        <v>33</v>
      </c>
      <c r="G3" s="88">
        <v>35</v>
      </c>
      <c r="H3" s="206" t="s">
        <v>228</v>
      </c>
      <c r="I3" s="88">
        <v>25</v>
      </c>
      <c r="J3" s="206" t="s">
        <v>240</v>
      </c>
      <c r="K3" s="88"/>
      <c r="L3" s="88">
        <v>32</v>
      </c>
      <c r="M3" s="88">
        <v>28</v>
      </c>
      <c r="N3" s="88">
        <v>26</v>
      </c>
      <c r="O3" s="88">
        <v>25</v>
      </c>
      <c r="P3" s="206" t="s">
        <v>240</v>
      </c>
      <c r="Q3" s="88"/>
      <c r="R3" s="88">
        <v>33</v>
      </c>
      <c r="S3" s="88">
        <v>30</v>
      </c>
      <c r="T3" s="88">
        <v>31</v>
      </c>
      <c r="U3" s="88">
        <v>30</v>
      </c>
      <c r="V3" s="206" t="s">
        <v>240</v>
      </c>
      <c r="W3" s="88">
        <v>32</v>
      </c>
      <c r="X3" s="88">
        <v>28</v>
      </c>
      <c r="Y3" s="88">
        <v>29</v>
      </c>
      <c r="Z3" s="88">
        <v>28</v>
      </c>
      <c r="AA3" s="210" t="s">
        <v>228</v>
      </c>
      <c r="AB3" s="88">
        <v>30</v>
      </c>
      <c r="AC3" s="206" t="s">
        <v>223</v>
      </c>
      <c r="AD3" s="88"/>
      <c r="AE3" s="211"/>
      <c r="AF3" s="220">
        <f>COUNTIF(D3:AE3,"&gt;0")</f>
        <v>18</v>
      </c>
      <c r="AG3" s="217">
        <f>IF(AF3&lt;19,18-AF3,0)</f>
        <v>0</v>
      </c>
      <c r="AH3" s="89">
        <f>SUM(AF3:AG3)</f>
        <v>18</v>
      </c>
      <c r="AI3" s="89">
        <f>LARGE(M3:AD3,1)</f>
        <v>33</v>
      </c>
      <c r="AJ3" s="214">
        <f>LARGE(B3:AH3,1)</f>
        <v>35</v>
      </c>
    </row>
    <row r="4" spans="2:36" s="33" customFormat="1" ht="15">
      <c r="B4" s="83" t="s">
        <v>29</v>
      </c>
      <c r="C4" s="84">
        <f>(SUM(D4:AE4)+AG4*37)/AH4</f>
        <v>31.555555555555557</v>
      </c>
      <c r="D4" s="90">
        <v>33</v>
      </c>
      <c r="E4" s="90">
        <v>33</v>
      </c>
      <c r="F4" s="90">
        <v>25</v>
      </c>
      <c r="G4" s="90">
        <v>33</v>
      </c>
      <c r="H4" s="207" t="s">
        <v>242</v>
      </c>
      <c r="I4" s="90">
        <v>25</v>
      </c>
      <c r="J4" s="90">
        <v>34</v>
      </c>
      <c r="K4" s="90">
        <v>31</v>
      </c>
      <c r="L4" s="90"/>
      <c r="M4" s="90"/>
      <c r="N4" s="90">
        <v>31</v>
      </c>
      <c r="O4" s="90">
        <v>29</v>
      </c>
      <c r="P4" s="90">
        <v>32</v>
      </c>
      <c r="Q4" s="207" t="s">
        <v>240</v>
      </c>
      <c r="R4" s="90"/>
      <c r="S4" s="90">
        <v>35</v>
      </c>
      <c r="T4" s="90">
        <v>27</v>
      </c>
      <c r="U4" s="90">
        <v>35</v>
      </c>
      <c r="V4" s="90">
        <v>36</v>
      </c>
      <c r="W4" s="90">
        <v>35</v>
      </c>
      <c r="X4" s="90">
        <v>32</v>
      </c>
      <c r="Y4" s="207" t="s">
        <v>228</v>
      </c>
      <c r="Z4" s="90">
        <v>27</v>
      </c>
      <c r="AA4" s="90"/>
      <c r="AB4" s="90"/>
      <c r="AC4" s="90">
        <v>35</v>
      </c>
      <c r="AD4" s="90"/>
      <c r="AE4" s="212"/>
      <c r="AF4" s="221">
        <f>COUNTIF(D4:AE4,"&gt;0")</f>
        <v>18</v>
      </c>
      <c r="AG4" s="218">
        <f>IF(AF4&lt;19,18-AF4,0)</f>
        <v>0</v>
      </c>
      <c r="AH4" s="91">
        <f>SUM(AF4:AG4)</f>
        <v>18</v>
      </c>
      <c r="AI4" s="91">
        <f>LARGE(M4:AD4,1)</f>
        <v>36</v>
      </c>
      <c r="AJ4" s="215">
        <f>LARGE(B4:AH4,1)</f>
        <v>36</v>
      </c>
    </row>
    <row r="5" spans="2:36" ht="15">
      <c r="B5" s="85" t="s">
        <v>30</v>
      </c>
      <c r="C5" s="84">
        <f>(SUM(D5:AE5)+AG5*37)/AH5</f>
        <v>32</v>
      </c>
      <c r="D5" s="90">
        <v>29</v>
      </c>
      <c r="E5" s="90">
        <v>32</v>
      </c>
      <c r="F5" s="90">
        <v>35</v>
      </c>
      <c r="G5" s="90">
        <v>29</v>
      </c>
      <c r="H5" s="207" t="s">
        <v>240</v>
      </c>
      <c r="I5" s="90">
        <v>27</v>
      </c>
      <c r="J5" s="90">
        <v>31</v>
      </c>
      <c r="K5" s="90"/>
      <c r="L5" s="90">
        <v>33</v>
      </c>
      <c r="M5" s="90">
        <v>35</v>
      </c>
      <c r="N5" s="90"/>
      <c r="O5" s="90"/>
      <c r="P5" s="90"/>
      <c r="Q5" s="90">
        <v>33</v>
      </c>
      <c r="R5" s="90"/>
      <c r="S5" s="90">
        <v>32</v>
      </c>
      <c r="T5" s="90">
        <v>32</v>
      </c>
      <c r="U5" s="90">
        <v>36</v>
      </c>
      <c r="V5" s="90">
        <v>32</v>
      </c>
      <c r="W5" s="90">
        <v>35</v>
      </c>
      <c r="X5" s="90">
        <v>26</v>
      </c>
      <c r="Y5" s="90">
        <v>35</v>
      </c>
      <c r="Z5" s="90">
        <v>32</v>
      </c>
      <c r="AA5" s="90">
        <v>32</v>
      </c>
      <c r="AB5" s="90"/>
      <c r="AC5" s="90"/>
      <c r="AD5" s="90"/>
      <c r="AE5" s="212"/>
      <c r="AF5" s="221">
        <f>COUNTIF(D5:AE5,"&gt;0")</f>
        <v>18</v>
      </c>
      <c r="AG5" s="218">
        <f>IF(AF5&lt;19,18-AF5,0)</f>
        <v>0</v>
      </c>
      <c r="AH5" s="91">
        <f>SUM(AF5:AG5)</f>
        <v>18</v>
      </c>
      <c r="AI5" s="91">
        <f>LARGE(M5:AD5,1)</f>
        <v>36</v>
      </c>
      <c r="AJ5" s="215">
        <f>LARGE(B5:AH5,1)</f>
        <v>36</v>
      </c>
    </row>
    <row r="6" spans="2:36" ht="15">
      <c r="B6" s="85" t="s">
        <v>121</v>
      </c>
      <c r="C6" s="84">
        <f>(SUM(D6:AE6)+AG6*37)/AH6</f>
        <v>33</v>
      </c>
      <c r="D6" s="90">
        <v>32</v>
      </c>
      <c r="E6" s="90">
        <v>27</v>
      </c>
      <c r="F6" s="90">
        <v>33</v>
      </c>
      <c r="G6" s="90"/>
      <c r="H6" s="207" t="s">
        <v>229</v>
      </c>
      <c r="I6" s="90">
        <v>31</v>
      </c>
      <c r="J6" s="90">
        <v>29</v>
      </c>
      <c r="K6" s="90">
        <v>31</v>
      </c>
      <c r="L6" s="90">
        <v>33</v>
      </c>
      <c r="M6" s="90"/>
      <c r="N6" s="207" t="s">
        <v>241</v>
      </c>
      <c r="O6" s="90">
        <v>32</v>
      </c>
      <c r="P6" s="90"/>
      <c r="Q6" s="90"/>
      <c r="R6" s="90">
        <v>33</v>
      </c>
      <c r="S6" s="90">
        <v>34</v>
      </c>
      <c r="T6" s="90">
        <v>35</v>
      </c>
      <c r="U6" s="90">
        <v>35</v>
      </c>
      <c r="V6" s="207" t="s">
        <v>228</v>
      </c>
      <c r="W6" s="90">
        <v>36</v>
      </c>
      <c r="X6" s="90">
        <v>37</v>
      </c>
      <c r="Y6" s="90">
        <v>32</v>
      </c>
      <c r="Z6" s="90">
        <v>35</v>
      </c>
      <c r="AA6" s="90">
        <v>34</v>
      </c>
      <c r="AB6" s="90"/>
      <c r="AC6" s="90">
        <v>35</v>
      </c>
      <c r="AD6" s="90"/>
      <c r="AE6" s="212"/>
      <c r="AF6" s="221">
        <f>COUNTIF(D6:AE6,"&gt;0")</f>
        <v>18</v>
      </c>
      <c r="AG6" s="218">
        <f>IF(AF6&lt;19,18-AF6,0)</f>
        <v>0</v>
      </c>
      <c r="AH6" s="91">
        <f>SUM(AF6:AG6)</f>
        <v>18</v>
      </c>
      <c r="AI6" s="91">
        <f>LARGE(M6:AD6,1)</f>
        <v>37</v>
      </c>
      <c r="AJ6" s="215">
        <f>LARGE(B6:AH6,1)</f>
        <v>37</v>
      </c>
    </row>
    <row r="7" spans="2:36" s="35" customFormat="1" ht="15">
      <c r="B7" s="83" t="s">
        <v>59</v>
      </c>
      <c r="C7" s="84">
        <f>(SUM(D7:AE7)+AG7*37)/AH7</f>
        <v>34.166666666666664</v>
      </c>
      <c r="D7" s="90">
        <v>33</v>
      </c>
      <c r="E7" s="207" t="s">
        <v>249</v>
      </c>
      <c r="F7" s="90">
        <v>26</v>
      </c>
      <c r="G7" s="207" t="s">
        <v>241</v>
      </c>
      <c r="H7" s="209" t="s">
        <v>229</v>
      </c>
      <c r="I7" s="90">
        <v>33</v>
      </c>
      <c r="J7" s="90">
        <v>38</v>
      </c>
      <c r="K7" s="90">
        <v>33</v>
      </c>
      <c r="L7" s="207" t="s">
        <v>224</v>
      </c>
      <c r="M7" s="90">
        <v>33</v>
      </c>
      <c r="N7" s="90">
        <v>37</v>
      </c>
      <c r="O7" s="90"/>
      <c r="P7" s="207" t="s">
        <v>224</v>
      </c>
      <c r="Q7" s="90">
        <v>37</v>
      </c>
      <c r="R7" s="90">
        <v>27</v>
      </c>
      <c r="S7" s="90">
        <v>36</v>
      </c>
      <c r="T7" s="207" t="s">
        <v>224</v>
      </c>
      <c r="U7" s="90">
        <v>38</v>
      </c>
      <c r="V7" s="90">
        <v>34</v>
      </c>
      <c r="W7" s="207" t="s">
        <v>241</v>
      </c>
      <c r="X7" s="90">
        <v>33</v>
      </c>
      <c r="Y7" s="90">
        <v>33</v>
      </c>
      <c r="Z7" s="90">
        <v>36</v>
      </c>
      <c r="AA7" s="90">
        <v>36</v>
      </c>
      <c r="AB7" s="90">
        <v>34</v>
      </c>
      <c r="AC7" s="90">
        <v>38</v>
      </c>
      <c r="AD7" s="90"/>
      <c r="AE7" s="212"/>
      <c r="AF7" s="221">
        <f>COUNTIF(D7:AE7,"&gt;0")</f>
        <v>18</v>
      </c>
      <c r="AG7" s="218">
        <f>IF(AF7&lt;19,18-AF7,0)</f>
        <v>0</v>
      </c>
      <c r="AH7" s="91">
        <f>SUM(AF7:AG7)</f>
        <v>18</v>
      </c>
      <c r="AI7" s="91">
        <f>LARGE(M7:AD7,1)</f>
        <v>38</v>
      </c>
      <c r="AJ7" s="215">
        <f>LARGE(B7:AH7,1)</f>
        <v>38</v>
      </c>
    </row>
    <row r="8" spans="2:36" s="35" customFormat="1" ht="15">
      <c r="B8" s="83" t="s">
        <v>123</v>
      </c>
      <c r="C8" s="84">
        <f>(SUM(D8:AE8)+AG8*37)/AH8</f>
        <v>34.55555555555556</v>
      </c>
      <c r="D8" s="90"/>
      <c r="E8" s="90">
        <v>36</v>
      </c>
      <c r="F8" s="90">
        <v>44</v>
      </c>
      <c r="G8" s="90">
        <v>33</v>
      </c>
      <c r="H8" s="90"/>
      <c r="I8" s="90">
        <v>33</v>
      </c>
      <c r="J8" s="90">
        <v>38</v>
      </c>
      <c r="K8" s="90">
        <v>32</v>
      </c>
      <c r="L8" s="90">
        <v>27</v>
      </c>
      <c r="M8" s="90">
        <v>34</v>
      </c>
      <c r="N8" s="90"/>
      <c r="O8" s="90"/>
      <c r="P8" s="90"/>
      <c r="Q8" s="90">
        <v>36</v>
      </c>
      <c r="R8" s="90">
        <v>36</v>
      </c>
      <c r="S8" s="90">
        <v>32</v>
      </c>
      <c r="T8" s="90">
        <v>36</v>
      </c>
      <c r="U8" s="90">
        <v>35</v>
      </c>
      <c r="V8" s="90"/>
      <c r="W8" s="90"/>
      <c r="X8" s="90"/>
      <c r="Y8" s="90">
        <v>36</v>
      </c>
      <c r="Z8" s="90">
        <v>36</v>
      </c>
      <c r="AA8" s="90">
        <v>29</v>
      </c>
      <c r="AB8" s="90">
        <v>31</v>
      </c>
      <c r="AC8" s="90">
        <v>38</v>
      </c>
      <c r="AD8" s="90"/>
      <c r="AE8" s="212"/>
      <c r="AF8" s="221">
        <f>COUNTIF(D8:AE8,"&gt;0")</f>
        <v>18</v>
      </c>
      <c r="AG8" s="218">
        <f>IF(AF8&lt;19,18-AF8,0)</f>
        <v>0</v>
      </c>
      <c r="AH8" s="91">
        <f>SUM(AF8:AG8)</f>
        <v>18</v>
      </c>
      <c r="AI8" s="91">
        <f>LARGE(M8:AD8,1)</f>
        <v>38</v>
      </c>
      <c r="AJ8" s="215">
        <f>LARGE(B8:AH8,1)</f>
        <v>44</v>
      </c>
    </row>
    <row r="9" spans="2:36" s="35" customFormat="1" ht="15">
      <c r="B9" s="83" t="s">
        <v>65</v>
      </c>
      <c r="C9" s="84">
        <f>(SUM(D9:AE9)+AG9*37)/AH9</f>
        <v>34.833333333333336</v>
      </c>
      <c r="D9" s="90"/>
      <c r="E9" s="90"/>
      <c r="F9" s="90">
        <v>33</v>
      </c>
      <c r="G9" s="90">
        <v>33</v>
      </c>
      <c r="H9" s="90"/>
      <c r="I9" s="90">
        <v>27</v>
      </c>
      <c r="J9" s="90">
        <v>34</v>
      </c>
      <c r="K9" s="90"/>
      <c r="L9" s="90"/>
      <c r="M9" s="90"/>
      <c r="N9" s="90">
        <v>36</v>
      </c>
      <c r="O9" s="90"/>
      <c r="P9" s="90"/>
      <c r="Q9" s="90"/>
      <c r="R9" s="90">
        <v>40</v>
      </c>
      <c r="S9" s="90"/>
      <c r="T9" s="90">
        <v>32</v>
      </c>
      <c r="U9" s="90"/>
      <c r="V9" s="90"/>
      <c r="W9" s="90"/>
      <c r="X9" s="90"/>
      <c r="Y9" s="90">
        <v>33</v>
      </c>
      <c r="Z9" s="90">
        <v>34</v>
      </c>
      <c r="AA9" s="90"/>
      <c r="AB9" s="90">
        <v>36</v>
      </c>
      <c r="AC9" s="90">
        <v>30</v>
      </c>
      <c r="AD9" s="90"/>
      <c r="AE9" s="212"/>
      <c r="AF9" s="221">
        <f>COUNTIF(D9:AE9,"&gt;0")</f>
        <v>11</v>
      </c>
      <c r="AG9" s="218">
        <f>IF(AF9&lt;19,18-AF9,0)</f>
        <v>7</v>
      </c>
      <c r="AH9" s="91">
        <f>SUM(AF9:AG9)</f>
        <v>18</v>
      </c>
      <c r="AI9" s="91">
        <f>LARGE(M9:AD9,1)</f>
        <v>40</v>
      </c>
      <c r="AJ9" s="215">
        <f>LARGE(B9:AH9,1)</f>
        <v>40</v>
      </c>
    </row>
    <row r="10" spans="2:36" ht="15">
      <c r="B10" s="85" t="s">
        <v>67</v>
      </c>
      <c r="C10" s="84">
        <f>(SUM(D10:AE10)+AG10*37)/AH10</f>
        <v>35.111111111111114</v>
      </c>
      <c r="D10" s="90">
        <v>35</v>
      </c>
      <c r="E10" s="90">
        <v>35</v>
      </c>
      <c r="F10" s="90">
        <v>40</v>
      </c>
      <c r="G10" s="90"/>
      <c r="H10" s="90">
        <v>38</v>
      </c>
      <c r="I10" s="90">
        <v>32</v>
      </c>
      <c r="J10" s="90">
        <v>25</v>
      </c>
      <c r="K10" s="90">
        <v>38</v>
      </c>
      <c r="L10" s="90">
        <v>37</v>
      </c>
      <c r="M10" s="207" t="s">
        <v>229</v>
      </c>
      <c r="N10" s="90"/>
      <c r="O10" s="90"/>
      <c r="P10" s="90">
        <v>34</v>
      </c>
      <c r="Q10" s="90"/>
      <c r="R10" s="90">
        <v>34</v>
      </c>
      <c r="S10" s="90"/>
      <c r="T10" s="90"/>
      <c r="U10" s="90">
        <v>36</v>
      </c>
      <c r="V10" s="90"/>
      <c r="W10" s="90">
        <v>32</v>
      </c>
      <c r="X10" s="90">
        <v>39</v>
      </c>
      <c r="Y10" s="90">
        <v>34</v>
      </c>
      <c r="Z10" s="90">
        <v>37</v>
      </c>
      <c r="AA10" s="90">
        <v>35</v>
      </c>
      <c r="AB10" s="90">
        <v>38</v>
      </c>
      <c r="AC10" s="90">
        <v>33</v>
      </c>
      <c r="AD10" s="90"/>
      <c r="AE10" s="212"/>
      <c r="AF10" s="221">
        <f>COUNTIF(D10:AE10,"&gt;0")</f>
        <v>18</v>
      </c>
      <c r="AG10" s="218">
        <f>IF(AF10&lt;19,18-AF10,0)</f>
        <v>0</v>
      </c>
      <c r="AH10" s="91">
        <f>SUM(AF10:AG10)</f>
        <v>18</v>
      </c>
      <c r="AI10" s="91">
        <f>LARGE(M10:AD10,1)</f>
        <v>39</v>
      </c>
      <c r="AJ10" s="215">
        <f>LARGE(B10:AH10,1)</f>
        <v>40</v>
      </c>
    </row>
    <row r="11" spans="2:36" ht="15">
      <c r="B11" s="83" t="s">
        <v>126</v>
      </c>
      <c r="C11" s="84">
        <f>(SUM(D11:AE11)+AG11*37)/AH11</f>
        <v>35.388888888888886</v>
      </c>
      <c r="D11" s="90">
        <v>31</v>
      </c>
      <c r="E11" s="90">
        <v>35</v>
      </c>
      <c r="F11" s="90">
        <v>35</v>
      </c>
      <c r="G11" s="90">
        <v>36</v>
      </c>
      <c r="H11" s="90">
        <v>34</v>
      </c>
      <c r="I11" s="90"/>
      <c r="J11" s="90">
        <v>32</v>
      </c>
      <c r="K11" s="90"/>
      <c r="L11" s="90">
        <v>38</v>
      </c>
      <c r="M11" s="90"/>
      <c r="N11" s="90"/>
      <c r="O11" s="90"/>
      <c r="P11" s="90"/>
      <c r="Q11" s="90">
        <v>35</v>
      </c>
      <c r="R11" s="90">
        <v>36</v>
      </c>
      <c r="S11" s="90"/>
      <c r="T11" s="90">
        <v>36</v>
      </c>
      <c r="U11" s="90"/>
      <c r="V11" s="90">
        <v>31</v>
      </c>
      <c r="W11" s="90">
        <v>36</v>
      </c>
      <c r="X11" s="90">
        <v>36</v>
      </c>
      <c r="Y11" s="90">
        <v>37</v>
      </c>
      <c r="Z11" s="90">
        <v>38</v>
      </c>
      <c r="AA11" s="90">
        <v>36</v>
      </c>
      <c r="AB11" s="90"/>
      <c r="AC11" s="90">
        <v>38</v>
      </c>
      <c r="AD11" s="90"/>
      <c r="AE11" s="212"/>
      <c r="AF11" s="221">
        <f>COUNTIF(D11:AE11,"&gt;0")</f>
        <v>17</v>
      </c>
      <c r="AG11" s="218">
        <f>IF(AF11&lt;19,18-AF11,0)</f>
        <v>1</v>
      </c>
      <c r="AH11" s="91">
        <f>SUM(AF11:AG11)</f>
        <v>18</v>
      </c>
      <c r="AI11" s="91">
        <f>LARGE(M11:AD11,1)</f>
        <v>38</v>
      </c>
      <c r="AJ11" s="215">
        <f>LARGE(B11:AH11,1)</f>
        <v>38</v>
      </c>
    </row>
    <row r="12" spans="2:36" ht="15">
      <c r="B12" s="85" t="s">
        <v>83</v>
      </c>
      <c r="C12" s="84">
        <f>(SUM(D12:AE12)+AG12*37)/AH12</f>
        <v>35.666666666666664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>
        <v>34</v>
      </c>
      <c r="T12" s="90">
        <v>31</v>
      </c>
      <c r="U12" s="90">
        <v>31</v>
      </c>
      <c r="V12" s="90"/>
      <c r="W12" s="90"/>
      <c r="X12" s="90"/>
      <c r="Y12" s="90"/>
      <c r="Z12" s="90">
        <v>31</v>
      </c>
      <c r="AA12" s="90"/>
      <c r="AB12" s="90">
        <v>34</v>
      </c>
      <c r="AC12" s="90"/>
      <c r="AD12" s="90"/>
      <c r="AE12" s="212"/>
      <c r="AF12" s="221">
        <f>COUNTIF(D12:AE12,"&gt;0")</f>
        <v>5</v>
      </c>
      <c r="AG12" s="218">
        <f>IF(AF12&lt;19,18-AF12,0)</f>
        <v>13</v>
      </c>
      <c r="AH12" s="91">
        <f>SUM(AF12:AG12)</f>
        <v>18</v>
      </c>
      <c r="AI12" s="91">
        <f>LARGE(M12:AD12,1)</f>
        <v>34</v>
      </c>
      <c r="AJ12" s="215">
        <f>LARGE(B12:AH12,1)</f>
        <v>35.666666666666664</v>
      </c>
    </row>
    <row r="13" spans="2:36" ht="15">
      <c r="B13" s="83" t="s">
        <v>124</v>
      </c>
      <c r="C13" s="84">
        <f>(SUM(D13:AE13)+AG13*37)/AH13</f>
        <v>35.666666666666664</v>
      </c>
      <c r="D13" s="90">
        <v>37</v>
      </c>
      <c r="E13" s="90">
        <v>36</v>
      </c>
      <c r="F13" s="90"/>
      <c r="G13" s="90"/>
      <c r="H13" s="90">
        <v>40</v>
      </c>
      <c r="I13" s="90">
        <v>35</v>
      </c>
      <c r="J13" s="90">
        <v>38</v>
      </c>
      <c r="K13" s="90"/>
      <c r="L13" s="90">
        <v>36</v>
      </c>
      <c r="M13" s="90">
        <v>36</v>
      </c>
      <c r="N13" s="90"/>
      <c r="O13" s="90">
        <v>33</v>
      </c>
      <c r="P13" s="90">
        <v>37</v>
      </c>
      <c r="Q13" s="90">
        <v>36</v>
      </c>
      <c r="R13" s="90">
        <v>28</v>
      </c>
      <c r="S13" s="90"/>
      <c r="T13" s="90">
        <v>36</v>
      </c>
      <c r="U13" s="90"/>
      <c r="V13" s="90">
        <v>36</v>
      </c>
      <c r="W13" s="90">
        <v>39</v>
      </c>
      <c r="X13" s="90">
        <v>31</v>
      </c>
      <c r="Y13" s="90">
        <v>33</v>
      </c>
      <c r="Z13" s="90"/>
      <c r="AA13" s="90">
        <v>38</v>
      </c>
      <c r="AB13" s="90"/>
      <c r="AC13" s="90"/>
      <c r="AD13" s="90"/>
      <c r="AE13" s="212"/>
      <c r="AF13" s="221">
        <f>COUNTIF(D13:AE13,"&gt;0")</f>
        <v>17</v>
      </c>
      <c r="AG13" s="218">
        <f>IF(AF13&lt;19,18-AF13,0)</f>
        <v>1</v>
      </c>
      <c r="AH13" s="91">
        <f>SUM(AF13:AG13)</f>
        <v>18</v>
      </c>
      <c r="AI13" s="91">
        <f>LARGE(M13:AD13,1)</f>
        <v>39</v>
      </c>
      <c r="AJ13" s="215">
        <f>LARGE(B13:AH13,1)</f>
        <v>40</v>
      </c>
    </row>
    <row r="14" spans="2:36" ht="15">
      <c r="B14" s="83" t="s">
        <v>58</v>
      </c>
      <c r="C14" s="84">
        <f>(SUM(D14:AE14)+AG14*37)/AH14</f>
        <v>36.22222222222222</v>
      </c>
      <c r="D14" s="90">
        <v>39</v>
      </c>
      <c r="E14" s="90">
        <v>38</v>
      </c>
      <c r="F14" s="90"/>
      <c r="G14" s="90"/>
      <c r="H14" s="90"/>
      <c r="I14" s="90"/>
      <c r="J14" s="90"/>
      <c r="K14" s="90">
        <v>37</v>
      </c>
      <c r="L14" s="90">
        <v>34</v>
      </c>
      <c r="M14" s="90"/>
      <c r="N14" s="90"/>
      <c r="O14" s="90"/>
      <c r="P14" s="90"/>
      <c r="Q14" s="90">
        <v>33</v>
      </c>
      <c r="R14" s="90">
        <v>32</v>
      </c>
      <c r="S14" s="90"/>
      <c r="T14" s="90"/>
      <c r="U14" s="90">
        <v>35</v>
      </c>
      <c r="V14" s="90">
        <v>32</v>
      </c>
      <c r="W14" s="90">
        <v>39</v>
      </c>
      <c r="X14" s="90">
        <v>38</v>
      </c>
      <c r="Y14" s="90">
        <v>38</v>
      </c>
      <c r="Z14" s="90"/>
      <c r="AA14" s="90">
        <v>38</v>
      </c>
      <c r="AB14" s="90">
        <v>34</v>
      </c>
      <c r="AC14" s="90"/>
      <c r="AD14" s="90"/>
      <c r="AE14" s="212"/>
      <c r="AF14" s="221">
        <f>COUNTIF(D14:AE14,"&gt;0")</f>
        <v>13</v>
      </c>
      <c r="AG14" s="218">
        <f>IF(AF14&lt;19,18-AF14,0)</f>
        <v>5</v>
      </c>
      <c r="AH14" s="91">
        <f>SUM(AF14:AG14)</f>
        <v>18</v>
      </c>
      <c r="AI14" s="91">
        <f>LARGE(M14:AD14,1)</f>
        <v>39</v>
      </c>
      <c r="AJ14" s="215">
        <f>LARGE(B14:AH14,1)</f>
        <v>39</v>
      </c>
    </row>
    <row r="15" spans="2:36" ht="15">
      <c r="B15" s="83" t="s">
        <v>63</v>
      </c>
      <c r="C15" s="84">
        <f>(SUM(D15:AE15)+AG15*37)/AH15</f>
        <v>36.44444444444444</v>
      </c>
      <c r="D15" s="90"/>
      <c r="E15" s="90"/>
      <c r="F15" s="90">
        <v>35</v>
      </c>
      <c r="G15" s="90"/>
      <c r="H15" s="90"/>
      <c r="I15" s="90"/>
      <c r="J15" s="90"/>
      <c r="K15" s="90">
        <v>38</v>
      </c>
      <c r="L15" s="90"/>
      <c r="M15" s="90"/>
      <c r="N15" s="90"/>
      <c r="O15" s="90"/>
      <c r="P15" s="90">
        <v>39</v>
      </c>
      <c r="Q15" s="90">
        <v>34</v>
      </c>
      <c r="R15" s="90"/>
      <c r="S15" s="90"/>
      <c r="T15" s="90"/>
      <c r="U15" s="90">
        <v>39</v>
      </c>
      <c r="V15" s="90">
        <v>32</v>
      </c>
      <c r="W15" s="90">
        <v>34</v>
      </c>
      <c r="X15" s="90"/>
      <c r="Y15" s="90"/>
      <c r="Z15" s="90">
        <v>41</v>
      </c>
      <c r="AA15" s="90"/>
      <c r="AB15" s="90">
        <v>35</v>
      </c>
      <c r="AC15" s="90">
        <v>33</v>
      </c>
      <c r="AD15" s="90"/>
      <c r="AE15" s="212"/>
      <c r="AF15" s="221">
        <f>COUNTIF(D15:AE15,"&gt;0")</f>
        <v>10</v>
      </c>
      <c r="AG15" s="218">
        <f>IF(AF15&lt;19,18-AF15,0)</f>
        <v>8</v>
      </c>
      <c r="AH15" s="91">
        <f>SUM(AF15:AG15)</f>
        <v>18</v>
      </c>
      <c r="AI15" s="91">
        <f>LARGE(M15:AD15,1)</f>
        <v>41</v>
      </c>
      <c r="AJ15" s="215">
        <f>LARGE(B15:AH15,1)</f>
        <v>41</v>
      </c>
    </row>
    <row r="16" spans="2:36" ht="15">
      <c r="B16" s="83" t="s">
        <v>193</v>
      </c>
      <c r="C16" s="84">
        <f>(SUM(D16:AE16)+AG16*37)/AH16</f>
        <v>36.44444444444444</v>
      </c>
      <c r="D16" s="90">
        <v>33</v>
      </c>
      <c r="E16" s="90">
        <v>39</v>
      </c>
      <c r="F16" s="207" t="s">
        <v>223</v>
      </c>
      <c r="G16" s="90"/>
      <c r="H16" s="90">
        <v>37</v>
      </c>
      <c r="I16" s="90">
        <v>29</v>
      </c>
      <c r="J16" s="90"/>
      <c r="K16" s="207" t="s">
        <v>224</v>
      </c>
      <c r="L16" s="90">
        <v>39</v>
      </c>
      <c r="M16" s="207" t="s">
        <v>229</v>
      </c>
      <c r="N16" s="90">
        <v>35</v>
      </c>
      <c r="O16" s="90">
        <v>39</v>
      </c>
      <c r="P16" s="90">
        <v>36</v>
      </c>
      <c r="Q16" s="90">
        <v>35</v>
      </c>
      <c r="R16" s="90">
        <v>37</v>
      </c>
      <c r="S16" s="90">
        <v>40</v>
      </c>
      <c r="T16" s="90">
        <v>35</v>
      </c>
      <c r="U16" s="90">
        <v>39</v>
      </c>
      <c r="V16" s="90"/>
      <c r="W16" s="90">
        <v>36</v>
      </c>
      <c r="X16" s="90">
        <v>35</v>
      </c>
      <c r="Y16" s="90">
        <v>37</v>
      </c>
      <c r="Z16" s="207" t="s">
        <v>225</v>
      </c>
      <c r="AA16" s="90">
        <v>37</v>
      </c>
      <c r="AB16" s="207" t="s">
        <v>224</v>
      </c>
      <c r="AC16" s="90">
        <v>38</v>
      </c>
      <c r="AD16" s="90"/>
      <c r="AE16" s="212"/>
      <c r="AF16" s="221">
        <f>COUNTIF(D16:AE16,"&gt;0")</f>
        <v>18</v>
      </c>
      <c r="AG16" s="218">
        <f>IF(AF16&lt;19,18-AF16,0)</f>
        <v>0</v>
      </c>
      <c r="AH16" s="91">
        <f>SUM(AF16:AG16)</f>
        <v>18</v>
      </c>
      <c r="AI16" s="91">
        <f>LARGE(M16:AD16,1)</f>
        <v>40</v>
      </c>
      <c r="AJ16" s="215">
        <f>LARGE(B16:AH16,1)</f>
        <v>40</v>
      </c>
    </row>
    <row r="17" spans="2:36" ht="15">
      <c r="B17" s="83" t="s">
        <v>70</v>
      </c>
      <c r="C17" s="84">
        <f>(SUM(D17:AE17)+AG17*37)/AH17</f>
        <v>36.55555555555556</v>
      </c>
      <c r="D17" s="90"/>
      <c r="E17" s="90"/>
      <c r="F17" s="90">
        <v>33</v>
      </c>
      <c r="G17" s="90"/>
      <c r="H17" s="90">
        <v>37</v>
      </c>
      <c r="I17" s="90">
        <v>35</v>
      </c>
      <c r="J17" s="90"/>
      <c r="K17" s="90">
        <v>42</v>
      </c>
      <c r="L17" s="90">
        <v>41</v>
      </c>
      <c r="M17" s="90"/>
      <c r="N17" s="90"/>
      <c r="O17" s="90"/>
      <c r="P17" s="90">
        <v>33</v>
      </c>
      <c r="Q17" s="90">
        <v>33</v>
      </c>
      <c r="R17" s="90">
        <v>38</v>
      </c>
      <c r="S17" s="90"/>
      <c r="T17" s="90"/>
      <c r="U17" s="90"/>
      <c r="V17" s="90">
        <v>34</v>
      </c>
      <c r="W17" s="90">
        <v>37</v>
      </c>
      <c r="X17" s="90"/>
      <c r="Y17" s="90">
        <v>36</v>
      </c>
      <c r="Z17" s="90">
        <v>37</v>
      </c>
      <c r="AA17" s="90"/>
      <c r="AB17" s="90"/>
      <c r="AC17" s="90"/>
      <c r="AD17" s="90"/>
      <c r="AE17" s="212"/>
      <c r="AF17" s="221">
        <f>COUNTIF(D17:AE17,"&gt;0")</f>
        <v>12</v>
      </c>
      <c r="AG17" s="218">
        <f>IF(AF17&lt;19,18-AF17,0)</f>
        <v>6</v>
      </c>
      <c r="AH17" s="91">
        <f>SUM(AF17:AG17)</f>
        <v>18</v>
      </c>
      <c r="AI17" s="91">
        <f>LARGE(M17:AD17,1)</f>
        <v>38</v>
      </c>
      <c r="AJ17" s="215">
        <f>LARGE(B17:AH17,1)</f>
        <v>42</v>
      </c>
    </row>
    <row r="18" spans="2:36" ht="15">
      <c r="B18" s="83" t="s">
        <v>125</v>
      </c>
      <c r="C18" s="84">
        <f>(SUM(D18:AE18)+AG18*37)/AH18</f>
        <v>36.611111111111114</v>
      </c>
      <c r="D18" s="90">
        <v>38</v>
      </c>
      <c r="E18" s="90"/>
      <c r="F18" s="90"/>
      <c r="G18" s="90"/>
      <c r="H18" s="90"/>
      <c r="I18" s="90"/>
      <c r="J18" s="90">
        <v>36</v>
      </c>
      <c r="K18" s="90"/>
      <c r="L18" s="90"/>
      <c r="M18" s="90"/>
      <c r="N18" s="90"/>
      <c r="O18" s="90"/>
      <c r="P18" s="90"/>
      <c r="Q18" s="90">
        <v>27</v>
      </c>
      <c r="R18" s="90"/>
      <c r="S18" s="90"/>
      <c r="T18" s="90"/>
      <c r="U18" s="90"/>
      <c r="V18" s="90"/>
      <c r="W18" s="90"/>
      <c r="X18" s="90">
        <v>40</v>
      </c>
      <c r="Y18" s="90"/>
      <c r="Z18" s="90"/>
      <c r="AA18" s="90"/>
      <c r="AB18" s="90"/>
      <c r="AC18" s="90"/>
      <c r="AD18" s="90"/>
      <c r="AE18" s="212"/>
      <c r="AF18" s="221">
        <f>COUNTIF(D18:AE18,"&gt;0")</f>
        <v>4</v>
      </c>
      <c r="AG18" s="218">
        <f>IF(AF18&lt;19,18-AF18,0)</f>
        <v>14</v>
      </c>
      <c r="AH18" s="91">
        <f>SUM(AF18:AG18)</f>
        <v>18</v>
      </c>
      <c r="AI18" s="91">
        <f>LARGE(M18:AD18,1)</f>
        <v>40</v>
      </c>
      <c r="AJ18" s="215">
        <f>LARGE(B18:AH18,1)</f>
        <v>40</v>
      </c>
    </row>
    <row r="19" spans="2:36" ht="15">
      <c r="B19" s="85" t="s">
        <v>122</v>
      </c>
      <c r="C19" s="84">
        <f>(SUM(D19:AE19)+AG19*37)/AH19</f>
        <v>36.77777777777778</v>
      </c>
      <c r="D19" s="90">
        <v>39</v>
      </c>
      <c r="E19" s="90">
        <v>33</v>
      </c>
      <c r="F19" s="90">
        <v>24</v>
      </c>
      <c r="G19" s="90">
        <v>42</v>
      </c>
      <c r="H19" s="90">
        <v>40</v>
      </c>
      <c r="I19" s="90">
        <v>37</v>
      </c>
      <c r="J19" s="90">
        <v>38</v>
      </c>
      <c r="K19" s="90">
        <v>38</v>
      </c>
      <c r="L19" s="90">
        <v>40</v>
      </c>
      <c r="M19" s="90"/>
      <c r="N19" s="90"/>
      <c r="O19" s="90"/>
      <c r="P19" s="90"/>
      <c r="Q19" s="90">
        <v>34</v>
      </c>
      <c r="R19" s="90"/>
      <c r="S19" s="90">
        <v>36</v>
      </c>
      <c r="T19" s="90">
        <v>33</v>
      </c>
      <c r="U19" s="90">
        <v>39</v>
      </c>
      <c r="V19" s="90"/>
      <c r="W19" s="90">
        <v>37</v>
      </c>
      <c r="X19" s="90"/>
      <c r="Y19" s="90">
        <v>40</v>
      </c>
      <c r="Z19" s="90"/>
      <c r="AA19" s="90"/>
      <c r="AB19" s="90">
        <v>37</v>
      </c>
      <c r="AC19" s="90">
        <v>38</v>
      </c>
      <c r="AD19" s="90"/>
      <c r="AE19" s="212"/>
      <c r="AF19" s="221">
        <f>COUNTIF(D19:AE19,"&gt;0")</f>
        <v>17</v>
      </c>
      <c r="AG19" s="218">
        <f>IF(AF19&lt;19,18-AF19,0)</f>
        <v>1</v>
      </c>
      <c r="AH19" s="91">
        <f>SUM(AF19:AG19)</f>
        <v>18</v>
      </c>
      <c r="AI19" s="91">
        <f>LARGE(M19:AD19,1)</f>
        <v>40</v>
      </c>
      <c r="AJ19" s="215">
        <f>LARGE(B19:AH19,1)</f>
        <v>42</v>
      </c>
    </row>
    <row r="20" spans="2:36" ht="15">
      <c r="B20" s="83" t="s">
        <v>81</v>
      </c>
      <c r="C20" s="84">
        <f>(SUM(D20:AE20)+AG20*37)/AH20</f>
        <v>37.166666666666664</v>
      </c>
      <c r="D20" s="90"/>
      <c r="E20" s="90"/>
      <c r="F20" s="90"/>
      <c r="G20" s="90"/>
      <c r="H20" s="90"/>
      <c r="I20" s="90"/>
      <c r="J20" s="90"/>
      <c r="K20" s="90">
        <v>40</v>
      </c>
      <c r="L20" s="90">
        <v>39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>
        <v>37</v>
      </c>
      <c r="Z20" s="90">
        <v>35</v>
      </c>
      <c r="AA20" s="90">
        <v>36</v>
      </c>
      <c r="AB20" s="90">
        <v>42</v>
      </c>
      <c r="AC20" s="90">
        <v>33</v>
      </c>
      <c r="AD20" s="90"/>
      <c r="AE20" s="212"/>
      <c r="AF20" s="221">
        <f>COUNTIF(D20:AE20,"&gt;0")</f>
        <v>7</v>
      </c>
      <c r="AG20" s="218">
        <f>IF(AF20&lt;19,18-AF20,0)</f>
        <v>11</v>
      </c>
      <c r="AH20" s="91">
        <f>SUM(AF20:AG20)</f>
        <v>18</v>
      </c>
      <c r="AI20" s="91">
        <f>LARGE(M20:AD20,1)</f>
        <v>42</v>
      </c>
      <c r="AJ20" s="215">
        <f>LARGE(B20:AH20,1)</f>
        <v>42</v>
      </c>
    </row>
    <row r="21" spans="2:36" ht="15">
      <c r="B21" s="83" t="s">
        <v>80</v>
      </c>
      <c r="C21" s="84">
        <f>(SUM(D21:AE21)+AG21*37)/AH21</f>
        <v>37.388888888888886</v>
      </c>
      <c r="D21" s="90">
        <v>35</v>
      </c>
      <c r="E21" s="90">
        <v>39</v>
      </c>
      <c r="F21" s="90">
        <v>37</v>
      </c>
      <c r="G21" s="90">
        <v>38</v>
      </c>
      <c r="H21" s="90"/>
      <c r="I21" s="90">
        <v>37</v>
      </c>
      <c r="J21" s="90">
        <v>40</v>
      </c>
      <c r="K21" s="90"/>
      <c r="L21" s="90">
        <v>42</v>
      </c>
      <c r="M21" s="90"/>
      <c r="N21" s="90">
        <v>38</v>
      </c>
      <c r="O21" s="90">
        <v>27</v>
      </c>
      <c r="P21" s="90">
        <v>42</v>
      </c>
      <c r="Q21" s="90"/>
      <c r="R21" s="90"/>
      <c r="S21" s="90"/>
      <c r="T21" s="90"/>
      <c r="U21" s="90"/>
      <c r="V21" s="90">
        <v>38</v>
      </c>
      <c r="W21" s="90">
        <v>36</v>
      </c>
      <c r="X21" s="90">
        <v>37</v>
      </c>
      <c r="Y21" s="90">
        <v>32</v>
      </c>
      <c r="Z21" s="90">
        <v>34</v>
      </c>
      <c r="AA21" s="90">
        <v>42</v>
      </c>
      <c r="AB21" s="90">
        <v>38</v>
      </c>
      <c r="AC21" s="90">
        <v>41</v>
      </c>
      <c r="AD21" s="90"/>
      <c r="AE21" s="212"/>
      <c r="AF21" s="221">
        <f>COUNTIF(D21:AE21,"&gt;0")</f>
        <v>18</v>
      </c>
      <c r="AG21" s="218">
        <f>IF(AF21&lt;19,18-AF21,0)</f>
        <v>0</v>
      </c>
      <c r="AH21" s="91">
        <f>SUM(AF21:AG21)</f>
        <v>18</v>
      </c>
      <c r="AI21" s="91">
        <f>LARGE(M21:AD21,1)</f>
        <v>42</v>
      </c>
      <c r="AJ21" s="215">
        <f>LARGE(B21:AH21,1)</f>
        <v>42</v>
      </c>
    </row>
    <row r="22" spans="2:36" ht="15">
      <c r="B22" s="83" t="s">
        <v>66</v>
      </c>
      <c r="C22" s="84">
        <f>(SUM(D22:AE22)+AG22*37)/AH22</f>
        <v>37.5</v>
      </c>
      <c r="D22" s="90">
        <v>37</v>
      </c>
      <c r="E22" s="90">
        <v>41</v>
      </c>
      <c r="F22" s="90">
        <v>30</v>
      </c>
      <c r="G22" s="90"/>
      <c r="H22" s="90"/>
      <c r="I22" s="90"/>
      <c r="J22" s="90"/>
      <c r="K22" s="90">
        <v>35</v>
      </c>
      <c r="L22" s="90"/>
      <c r="M22" s="90"/>
      <c r="N22" s="90"/>
      <c r="O22" s="90">
        <v>35</v>
      </c>
      <c r="P22" s="90">
        <v>35</v>
      </c>
      <c r="Q22" s="90"/>
      <c r="R22" s="90"/>
      <c r="S22" s="90"/>
      <c r="T22" s="90">
        <v>41</v>
      </c>
      <c r="U22" s="90">
        <v>40</v>
      </c>
      <c r="V22" s="90"/>
      <c r="W22" s="90"/>
      <c r="X22" s="90">
        <v>37</v>
      </c>
      <c r="Y22" s="90">
        <v>40</v>
      </c>
      <c r="Z22" s="90"/>
      <c r="AA22" s="90">
        <v>41</v>
      </c>
      <c r="AB22" s="90">
        <v>41</v>
      </c>
      <c r="AC22" s="90"/>
      <c r="AD22" s="90"/>
      <c r="AE22" s="212"/>
      <c r="AF22" s="221">
        <f>COUNTIF(D22:AE22,"&gt;0")</f>
        <v>12</v>
      </c>
      <c r="AG22" s="218">
        <f>IF(AF22&lt;19,18-AF22,0)</f>
        <v>6</v>
      </c>
      <c r="AH22" s="91">
        <f>SUM(AF22:AG22)</f>
        <v>18</v>
      </c>
      <c r="AI22" s="91">
        <f>LARGE(M22:AD22,1)</f>
        <v>41</v>
      </c>
      <c r="AJ22" s="215">
        <f>LARGE(B22:AH22,1)</f>
        <v>41</v>
      </c>
    </row>
    <row r="23" spans="2:36" ht="15">
      <c r="B23" s="83" t="s">
        <v>62</v>
      </c>
      <c r="C23" s="84">
        <f>(SUM(D23:AE23)+AG23*37)/AH23</f>
        <v>38.111111111111114</v>
      </c>
      <c r="D23" s="90">
        <v>41</v>
      </c>
      <c r="E23" s="90"/>
      <c r="F23" s="90">
        <v>35</v>
      </c>
      <c r="G23" s="90"/>
      <c r="H23" s="90">
        <v>38</v>
      </c>
      <c r="I23" s="90"/>
      <c r="J23" s="90">
        <v>32</v>
      </c>
      <c r="K23" s="90">
        <v>39</v>
      </c>
      <c r="L23" s="90"/>
      <c r="M23" s="90"/>
      <c r="N23" s="90"/>
      <c r="O23" s="90">
        <v>38</v>
      </c>
      <c r="P23" s="90"/>
      <c r="Q23" s="90"/>
      <c r="R23" s="90"/>
      <c r="S23" s="90">
        <v>40</v>
      </c>
      <c r="T23" s="90"/>
      <c r="U23" s="90">
        <v>42</v>
      </c>
      <c r="V23" s="90">
        <v>41</v>
      </c>
      <c r="W23" s="90">
        <v>35</v>
      </c>
      <c r="X23" s="90"/>
      <c r="Y23" s="90">
        <v>43</v>
      </c>
      <c r="Z23" s="90"/>
      <c r="AA23" s="90">
        <v>40</v>
      </c>
      <c r="AB23" s="90"/>
      <c r="AC23" s="90"/>
      <c r="AD23" s="90"/>
      <c r="AE23" s="212"/>
      <c r="AF23" s="221">
        <f>COUNTIF(D23:AE23,"&gt;0")</f>
        <v>12</v>
      </c>
      <c r="AG23" s="218">
        <f>IF(AF23&lt;19,18-AF23,0)</f>
        <v>6</v>
      </c>
      <c r="AH23" s="91">
        <f>SUM(AF23:AG23)</f>
        <v>18</v>
      </c>
      <c r="AI23" s="91">
        <f>LARGE(M23:AD23,1)</f>
        <v>43</v>
      </c>
      <c r="AJ23" s="215">
        <f>LARGE(B23:AH23,1)</f>
        <v>43</v>
      </c>
    </row>
    <row r="24" spans="2:36" ht="15">
      <c r="B24" s="83" t="s">
        <v>84</v>
      </c>
      <c r="C24" s="84">
        <f>(SUM(D24:AE24)+AG24*37)/AH24</f>
        <v>38.22222222222222</v>
      </c>
      <c r="D24" s="90">
        <v>41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>
        <v>39</v>
      </c>
      <c r="R24" s="90">
        <v>44</v>
      </c>
      <c r="S24" s="90"/>
      <c r="T24" s="90"/>
      <c r="U24" s="90"/>
      <c r="V24" s="90"/>
      <c r="W24" s="90">
        <v>48</v>
      </c>
      <c r="X24" s="90"/>
      <c r="Y24" s="90"/>
      <c r="Z24" s="90">
        <v>35</v>
      </c>
      <c r="AA24" s="90"/>
      <c r="AB24" s="90"/>
      <c r="AC24" s="90"/>
      <c r="AD24" s="90"/>
      <c r="AE24" s="212"/>
      <c r="AF24" s="221">
        <f>COUNTIF(D24:AE24,"&gt;0")</f>
        <v>5</v>
      </c>
      <c r="AG24" s="218">
        <f>IF(AF24&lt;19,18-AF24,0)</f>
        <v>13</v>
      </c>
      <c r="AH24" s="91">
        <f>SUM(AF24:AG24)</f>
        <v>18</v>
      </c>
      <c r="AI24" s="91">
        <f>LARGE(M24:AD24,1)</f>
        <v>48</v>
      </c>
      <c r="AJ24" s="215">
        <f>LARGE(B24:AH24,1)</f>
        <v>48</v>
      </c>
    </row>
    <row r="25" spans="2:36" ht="15">
      <c r="B25" s="85" t="s">
        <v>69</v>
      </c>
      <c r="C25" s="84">
        <f>(SUM(D25:AE25)+AG25*37)/AH25</f>
        <v>38.27777777777778</v>
      </c>
      <c r="D25" s="90">
        <v>39</v>
      </c>
      <c r="E25" s="90"/>
      <c r="F25" s="90">
        <v>39</v>
      </c>
      <c r="G25" s="90">
        <v>40</v>
      </c>
      <c r="H25" s="90"/>
      <c r="I25" s="90">
        <v>28</v>
      </c>
      <c r="J25" s="90">
        <v>43</v>
      </c>
      <c r="K25" s="90">
        <v>42</v>
      </c>
      <c r="L25" s="90">
        <v>36</v>
      </c>
      <c r="M25" s="90"/>
      <c r="N25" s="90">
        <v>40</v>
      </c>
      <c r="O25" s="90">
        <v>35</v>
      </c>
      <c r="P25" s="90"/>
      <c r="Q25" s="90">
        <v>39</v>
      </c>
      <c r="R25" s="90"/>
      <c r="S25" s="90"/>
      <c r="T25" s="90">
        <v>40</v>
      </c>
      <c r="U25" s="90">
        <v>41</v>
      </c>
      <c r="V25" s="90"/>
      <c r="W25" s="90">
        <v>35</v>
      </c>
      <c r="X25" s="90">
        <v>39</v>
      </c>
      <c r="Y25" s="90"/>
      <c r="Z25" s="90"/>
      <c r="AA25" s="90"/>
      <c r="AB25" s="90"/>
      <c r="AC25" s="90">
        <v>42</v>
      </c>
      <c r="AD25" s="90"/>
      <c r="AE25" s="212"/>
      <c r="AF25" s="221">
        <f>COUNTIF(D25:AE25,"&gt;0")</f>
        <v>15</v>
      </c>
      <c r="AG25" s="218">
        <f>IF(AF25&lt;19,18-AF25,0)</f>
        <v>3</v>
      </c>
      <c r="AH25" s="91">
        <f>SUM(AF25:AG25)</f>
        <v>18</v>
      </c>
      <c r="AI25" s="91">
        <f>LARGE(M25:AD25,1)</f>
        <v>42</v>
      </c>
      <c r="AJ25" s="215">
        <f>LARGE(B25:AH25,1)</f>
        <v>43</v>
      </c>
    </row>
    <row r="26" spans="2:36" ht="15">
      <c r="B26" s="85" t="s">
        <v>68</v>
      </c>
      <c r="C26" s="84">
        <f>(SUM(D26:AE26)+AG26*37)/AH26</f>
        <v>38.27777777777778</v>
      </c>
      <c r="D26" s="92"/>
      <c r="E26" s="92"/>
      <c r="F26" s="92"/>
      <c r="G26" s="92"/>
      <c r="H26" s="92"/>
      <c r="I26" s="92"/>
      <c r="J26" s="92"/>
      <c r="K26" s="92">
        <v>43</v>
      </c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>
        <v>43</v>
      </c>
      <c r="Z26" s="92"/>
      <c r="AA26" s="92">
        <v>38</v>
      </c>
      <c r="AB26" s="92"/>
      <c r="AC26" s="92">
        <v>47</v>
      </c>
      <c r="AD26" s="92"/>
      <c r="AE26" s="213"/>
      <c r="AF26" s="222">
        <f>COUNTIF(D26:AE26,"&gt;0")</f>
        <v>4</v>
      </c>
      <c r="AG26" s="219">
        <f>IF(AF26&lt;19,18-AF26,0)</f>
        <v>14</v>
      </c>
      <c r="AH26" s="93">
        <f>SUM(AF26:AG26)</f>
        <v>18</v>
      </c>
      <c r="AI26" s="93">
        <f>LARGE(M26:AD26,1)</f>
        <v>47</v>
      </c>
      <c r="AJ26" s="216">
        <f>LARGE(B26:AH26,1)</f>
        <v>47</v>
      </c>
    </row>
    <row r="28" spans="3:31" ht="15">
      <c r="C28" s="29" t="s">
        <v>36</v>
      </c>
      <c r="D28" s="45"/>
      <c r="E28" s="45"/>
      <c r="F28" s="45"/>
      <c r="G28" s="45"/>
      <c r="H28" s="45"/>
      <c r="I28" s="45"/>
      <c r="J28" s="45"/>
      <c r="K28" s="45"/>
      <c r="L28" s="45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15">
      <c r="C29" s="29" t="s">
        <v>37</v>
      </c>
    </row>
    <row r="30" ht="15">
      <c r="C30" s="29"/>
    </row>
    <row r="31" ht="15">
      <c r="C31" s="29" t="s">
        <v>53</v>
      </c>
    </row>
    <row r="33" ht="15">
      <c r="C33" s="135" t="s">
        <v>119</v>
      </c>
    </row>
  </sheetData>
  <sheetProtection/>
  <autoFilter ref="C2:C26">
    <sortState ref="C3:C33">
      <sortCondition sortBy="value" ref="C3:C33"/>
    </sortState>
  </autoFilter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42"/>
  <sheetViews>
    <sheetView showZeros="0" zoomScale="85" zoomScaleNormal="85" zoomScalePageLayoutView="0" workbookViewId="0" topLeftCell="B13">
      <selection activeCell="E37" sqref="E37:E38"/>
    </sheetView>
  </sheetViews>
  <sheetFormatPr defaultColWidth="9.140625" defaultRowHeight="12.75"/>
  <cols>
    <col min="1" max="1" width="4.421875" style="47" hidden="1" customWidth="1"/>
    <col min="2" max="2" width="13.421875" style="47" customWidth="1"/>
    <col min="3" max="3" width="15.00390625" style="70" customWidth="1"/>
    <col min="4" max="4" width="17.57421875" style="71" customWidth="1"/>
    <col min="5" max="5" width="10.140625" style="71" customWidth="1"/>
    <col min="6" max="6" width="4.00390625" style="47" customWidth="1"/>
    <col min="7" max="7" width="16.7109375" style="47" customWidth="1"/>
    <col min="8" max="8" width="16.00390625" style="47" customWidth="1"/>
    <col min="9" max="45" width="4.7109375" style="47" customWidth="1"/>
    <col min="46" max="16384" width="9.140625" style="47" customWidth="1"/>
  </cols>
  <sheetData>
    <row r="1" spans="2:36" ht="20.25">
      <c r="B1" s="244" t="s">
        <v>38</v>
      </c>
      <c r="C1" s="244"/>
      <c r="D1" s="244"/>
      <c r="E1" s="244"/>
      <c r="F1" s="42"/>
      <c r="G1" s="244" t="s">
        <v>39</v>
      </c>
      <c r="H1" s="244"/>
      <c r="I1" s="244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3:15" s="48" customFormat="1" ht="81.75" customHeight="1" thickBot="1">
      <c r="C2" s="49" t="s">
        <v>57</v>
      </c>
      <c r="D2" s="50" t="s">
        <v>40</v>
      </c>
      <c r="E2" s="50" t="s">
        <v>41</v>
      </c>
      <c r="H2" s="44" t="s">
        <v>42</v>
      </c>
      <c r="I2" s="38" t="s">
        <v>41</v>
      </c>
      <c r="O2" s="51"/>
    </row>
    <row r="3" spans="2:40" ht="15">
      <c r="B3" s="52" t="s">
        <v>30</v>
      </c>
      <c r="C3" s="53">
        <v>1.09</v>
      </c>
      <c r="D3" s="54" t="s">
        <v>43</v>
      </c>
      <c r="E3" s="55" t="s">
        <v>56</v>
      </c>
      <c r="G3" s="56" t="s">
        <v>83</v>
      </c>
      <c r="H3" s="57" t="s">
        <v>172</v>
      </c>
      <c r="I3" s="58" t="s">
        <v>171</v>
      </c>
      <c r="AM3" s="59"/>
      <c r="AN3" s="60"/>
    </row>
    <row r="4" spans="2:40" ht="15">
      <c r="B4" s="172" t="s">
        <v>131</v>
      </c>
      <c r="C4" s="57">
        <v>1.75</v>
      </c>
      <c r="D4" s="173" t="s">
        <v>170</v>
      </c>
      <c r="E4" s="158" t="s">
        <v>171</v>
      </c>
      <c r="G4" s="56" t="s">
        <v>29</v>
      </c>
      <c r="H4" s="57" t="s">
        <v>232</v>
      </c>
      <c r="I4" s="58" t="s">
        <v>217</v>
      </c>
      <c r="AM4" s="59"/>
      <c r="AN4" s="60"/>
    </row>
    <row r="5" spans="2:40" ht="15.75" thickBot="1">
      <c r="B5" s="171" t="s">
        <v>122</v>
      </c>
      <c r="C5" s="61">
        <v>2.1</v>
      </c>
      <c r="D5" s="62" t="s">
        <v>43</v>
      </c>
      <c r="E5" s="159" t="s">
        <v>141</v>
      </c>
      <c r="F5" s="63"/>
      <c r="G5" s="64" t="s">
        <v>131</v>
      </c>
      <c r="H5" s="57" t="s">
        <v>254</v>
      </c>
      <c r="I5" s="58" t="s">
        <v>253</v>
      </c>
      <c r="J5" s="63"/>
      <c r="K5" s="63"/>
      <c r="L5" s="63"/>
      <c r="M5" s="63"/>
      <c r="AM5" s="59"/>
      <c r="AN5" s="60"/>
    </row>
    <row r="6" spans="2:40" ht="15">
      <c r="B6" s="197" t="s">
        <v>29</v>
      </c>
      <c r="C6" s="65">
        <v>2.11</v>
      </c>
      <c r="D6" s="208" t="s">
        <v>233</v>
      </c>
      <c r="E6" s="173" t="s">
        <v>217</v>
      </c>
      <c r="AM6" s="59"/>
      <c r="AN6" s="60"/>
    </row>
    <row r="7" spans="2:40" ht="15">
      <c r="B7" s="64" t="s">
        <v>127</v>
      </c>
      <c r="C7" s="57">
        <v>2.45</v>
      </c>
      <c r="D7" s="58" t="s">
        <v>169</v>
      </c>
      <c r="E7" s="58" t="s">
        <v>171</v>
      </c>
      <c r="AM7" s="59"/>
      <c r="AN7" s="60"/>
    </row>
    <row r="8" spans="2:40" ht="15">
      <c r="B8" s="66" t="s">
        <v>65</v>
      </c>
      <c r="C8" s="57">
        <v>2.52</v>
      </c>
      <c r="D8" s="58" t="s">
        <v>43</v>
      </c>
      <c r="E8" s="58" t="s">
        <v>216</v>
      </c>
      <c r="AM8" s="59"/>
      <c r="AN8" s="60"/>
    </row>
    <row r="9" spans="2:40" ht="15">
      <c r="B9" s="66" t="s">
        <v>127</v>
      </c>
      <c r="C9" s="57">
        <v>2.57</v>
      </c>
      <c r="D9" s="58" t="s">
        <v>43</v>
      </c>
      <c r="E9" s="174" t="s">
        <v>188</v>
      </c>
      <c r="AM9" s="59"/>
      <c r="AN9" s="60"/>
    </row>
    <row r="10" spans="2:40" ht="15">
      <c r="B10" s="66" t="s">
        <v>80</v>
      </c>
      <c r="C10" s="57">
        <v>2.75</v>
      </c>
      <c r="D10" s="58" t="s">
        <v>256</v>
      </c>
      <c r="E10" s="58" t="s">
        <v>253</v>
      </c>
      <c r="F10" s="63"/>
      <c r="G10" s="63"/>
      <c r="H10" s="63"/>
      <c r="I10" s="63"/>
      <c r="J10" s="63"/>
      <c r="K10" s="63"/>
      <c r="L10" s="63"/>
      <c r="M10" s="63"/>
      <c r="AM10" s="59"/>
      <c r="AN10" s="60"/>
    </row>
    <row r="11" spans="2:40" ht="15">
      <c r="B11" s="34" t="s">
        <v>127</v>
      </c>
      <c r="C11" s="57">
        <v>3.25</v>
      </c>
      <c r="D11" s="58" t="s">
        <v>43</v>
      </c>
      <c r="E11" s="58" t="s">
        <v>179</v>
      </c>
      <c r="AM11" s="59"/>
      <c r="AN11" s="60"/>
    </row>
    <row r="12" spans="2:40" ht="15">
      <c r="B12" s="66" t="s">
        <v>121</v>
      </c>
      <c r="C12" s="57">
        <v>3.27</v>
      </c>
      <c r="D12" s="174" t="s">
        <v>233</v>
      </c>
      <c r="E12" s="58" t="s">
        <v>217</v>
      </c>
      <c r="AM12" s="59"/>
      <c r="AN12" s="60"/>
    </row>
    <row r="13" spans="2:40" ht="15">
      <c r="B13" s="56" t="s">
        <v>193</v>
      </c>
      <c r="C13" s="57">
        <v>3.76</v>
      </c>
      <c r="D13" s="58" t="s">
        <v>43</v>
      </c>
      <c r="E13" s="58" t="s">
        <v>205</v>
      </c>
      <c r="AM13" s="59"/>
      <c r="AN13" s="60"/>
    </row>
    <row r="14" spans="2:40" ht="15">
      <c r="B14" s="34" t="s">
        <v>80</v>
      </c>
      <c r="C14" s="57">
        <v>3.91</v>
      </c>
      <c r="D14" s="58" t="s">
        <v>43</v>
      </c>
      <c r="E14" s="58" t="s">
        <v>201</v>
      </c>
      <c r="AM14" s="59"/>
      <c r="AN14" s="60"/>
    </row>
    <row r="15" spans="2:40" ht="15">
      <c r="B15" s="34" t="s">
        <v>186</v>
      </c>
      <c r="C15" s="57">
        <v>4.04</v>
      </c>
      <c r="D15" s="58" t="s">
        <v>149</v>
      </c>
      <c r="E15" s="174" t="s">
        <v>187</v>
      </c>
      <c r="AM15" s="59"/>
      <c r="AN15" s="60"/>
    </row>
    <row r="16" spans="2:40" ht="15">
      <c r="B16" s="66" t="s">
        <v>83</v>
      </c>
      <c r="C16" s="57">
        <v>4.63</v>
      </c>
      <c r="D16" s="58" t="s">
        <v>43</v>
      </c>
      <c r="E16" s="58" t="s">
        <v>144</v>
      </c>
      <c r="AM16" s="59"/>
      <c r="AN16" s="60"/>
    </row>
    <row r="17" spans="2:40" ht="15">
      <c r="B17" s="34" t="s">
        <v>29</v>
      </c>
      <c r="C17" s="57">
        <v>4.72</v>
      </c>
      <c r="D17" s="58" t="s">
        <v>255</v>
      </c>
      <c r="E17" s="58" t="s">
        <v>253</v>
      </c>
      <c r="AM17" s="59"/>
      <c r="AN17" s="60"/>
    </row>
    <row r="18" spans="2:40" ht="15">
      <c r="B18" s="66" t="s">
        <v>131</v>
      </c>
      <c r="C18" s="57">
        <v>4.91</v>
      </c>
      <c r="D18" s="58" t="s">
        <v>132</v>
      </c>
      <c r="E18" s="174" t="s">
        <v>133</v>
      </c>
      <c r="AM18" s="59"/>
      <c r="AN18" s="60"/>
    </row>
    <row r="19" spans="2:40" s="63" customFormat="1" ht="15">
      <c r="B19" s="66" t="s">
        <v>59</v>
      </c>
      <c r="C19" s="57">
        <v>5.86</v>
      </c>
      <c r="D19" s="58" t="s">
        <v>43</v>
      </c>
      <c r="E19" s="58" t="s">
        <v>159</v>
      </c>
      <c r="F19" s="47"/>
      <c r="G19" s="47"/>
      <c r="H19" s="47"/>
      <c r="I19" s="47"/>
      <c r="J19" s="47"/>
      <c r="K19" s="47"/>
      <c r="L19" s="47"/>
      <c r="M19" s="47"/>
      <c r="AM19" s="68"/>
      <c r="AN19" s="60"/>
    </row>
    <row r="20" spans="2:40" s="63" customFormat="1" ht="15">
      <c r="B20" s="34" t="s">
        <v>29</v>
      </c>
      <c r="C20" s="57">
        <v>5.87</v>
      </c>
      <c r="D20" s="58" t="s">
        <v>43</v>
      </c>
      <c r="E20" s="58" t="s">
        <v>253</v>
      </c>
      <c r="F20" s="47"/>
      <c r="G20" s="47"/>
      <c r="H20" s="47"/>
      <c r="I20" s="47"/>
      <c r="J20" s="47"/>
      <c r="K20" s="47"/>
      <c r="L20" s="47"/>
      <c r="M20" s="47"/>
      <c r="AM20" s="68"/>
      <c r="AN20" s="60"/>
    </row>
    <row r="21" spans="2:40" s="63" customFormat="1" ht="15">
      <c r="B21" s="34" t="s">
        <v>30</v>
      </c>
      <c r="C21" s="57">
        <v>6.33</v>
      </c>
      <c r="D21" s="58" t="s">
        <v>149</v>
      </c>
      <c r="E21" s="58" t="s">
        <v>237</v>
      </c>
      <c r="F21" s="47"/>
      <c r="G21" s="47"/>
      <c r="H21" s="47"/>
      <c r="I21" s="47"/>
      <c r="J21" s="47"/>
      <c r="K21" s="47"/>
      <c r="L21" s="47"/>
      <c r="M21" s="47"/>
      <c r="AM21" s="68"/>
      <c r="AN21" s="60"/>
    </row>
    <row r="22" spans="2:40" s="63" customFormat="1" ht="15">
      <c r="B22" s="56" t="s">
        <v>123</v>
      </c>
      <c r="C22" s="57">
        <v>6.65</v>
      </c>
      <c r="D22" s="58" t="s">
        <v>43</v>
      </c>
      <c r="E22" s="58" t="s">
        <v>191</v>
      </c>
      <c r="F22" s="47"/>
      <c r="G22" s="47"/>
      <c r="H22" s="47"/>
      <c r="I22" s="47"/>
      <c r="J22" s="47"/>
      <c r="K22" s="47"/>
      <c r="L22" s="47"/>
      <c r="M22" s="47"/>
      <c r="AM22" s="68"/>
      <c r="AN22" s="60"/>
    </row>
    <row r="23" spans="2:5" ht="15">
      <c r="B23" s="67" t="s">
        <v>193</v>
      </c>
      <c r="C23" s="57">
        <v>6.76</v>
      </c>
      <c r="D23" s="174" t="s">
        <v>233</v>
      </c>
      <c r="E23" s="58" t="s">
        <v>217</v>
      </c>
    </row>
    <row r="24" spans="2:5" ht="15">
      <c r="B24" s="34" t="s">
        <v>29</v>
      </c>
      <c r="C24" s="57">
        <v>6.93</v>
      </c>
      <c r="D24" s="58" t="s">
        <v>43</v>
      </c>
      <c r="E24" s="58" t="s">
        <v>202</v>
      </c>
    </row>
    <row r="25" spans="2:5" ht="15">
      <c r="B25" s="34" t="s">
        <v>29</v>
      </c>
      <c r="C25" s="57">
        <v>8.03</v>
      </c>
      <c r="D25" s="58" t="s">
        <v>132</v>
      </c>
      <c r="E25" s="58" t="s">
        <v>247</v>
      </c>
    </row>
    <row r="26" spans="2:13" ht="15">
      <c r="B26" s="66" t="s">
        <v>30</v>
      </c>
      <c r="C26" s="57">
        <v>8.39</v>
      </c>
      <c r="D26" s="58" t="s">
        <v>258</v>
      </c>
      <c r="E26" s="58" t="s">
        <v>253</v>
      </c>
      <c r="F26" s="63"/>
      <c r="G26" s="63"/>
      <c r="H26" s="63"/>
      <c r="I26" s="63"/>
      <c r="J26" s="63"/>
      <c r="K26" s="63"/>
      <c r="L26" s="63"/>
      <c r="M26" s="63"/>
    </row>
    <row r="27" spans="2:5" ht="15">
      <c r="B27" s="66" t="s">
        <v>30</v>
      </c>
      <c r="C27" s="57">
        <v>9.05</v>
      </c>
      <c r="D27" s="58" t="s">
        <v>257</v>
      </c>
      <c r="E27" s="58" t="s">
        <v>253</v>
      </c>
    </row>
    <row r="28" spans="2:13" ht="15">
      <c r="B28" s="66" t="s">
        <v>29</v>
      </c>
      <c r="C28" s="57">
        <v>9.21</v>
      </c>
      <c r="D28" s="58" t="s">
        <v>43</v>
      </c>
      <c r="E28" s="58" t="s">
        <v>156</v>
      </c>
      <c r="F28" s="63"/>
      <c r="G28" s="63"/>
      <c r="H28" s="63"/>
      <c r="I28" s="63"/>
      <c r="J28" s="63"/>
      <c r="K28" s="63"/>
      <c r="L28" s="63"/>
      <c r="M28" s="63"/>
    </row>
    <row r="29" spans="2:5" ht="15">
      <c r="B29" s="64" t="s">
        <v>62</v>
      </c>
      <c r="C29" s="57">
        <v>9.8</v>
      </c>
      <c r="D29" s="58" t="s">
        <v>168</v>
      </c>
      <c r="E29" s="58" t="s">
        <v>171</v>
      </c>
    </row>
    <row r="30" spans="2:5" ht="15">
      <c r="B30" s="34" t="s">
        <v>29</v>
      </c>
      <c r="C30" s="57">
        <v>11.34</v>
      </c>
      <c r="D30" s="58" t="s">
        <v>132</v>
      </c>
      <c r="E30" s="58" t="s">
        <v>253</v>
      </c>
    </row>
    <row r="31" spans="2:5" ht="15">
      <c r="B31" s="69" t="s">
        <v>29</v>
      </c>
      <c r="C31" s="57">
        <v>12.72</v>
      </c>
      <c r="D31" s="174" t="s">
        <v>43</v>
      </c>
      <c r="E31" s="174" t="s">
        <v>230</v>
      </c>
    </row>
    <row r="32" spans="2:5" ht="15">
      <c r="B32" s="56" t="s">
        <v>175</v>
      </c>
      <c r="C32" s="57">
        <v>13.42</v>
      </c>
      <c r="D32" s="58" t="s">
        <v>149</v>
      </c>
      <c r="E32" s="58" t="s">
        <v>177</v>
      </c>
    </row>
    <row r="33" spans="2:5" ht="15">
      <c r="B33" s="67" t="s">
        <v>29</v>
      </c>
      <c r="C33" s="57">
        <v>13.68</v>
      </c>
      <c r="D33" s="174" t="s">
        <v>233</v>
      </c>
      <c r="E33" s="58" t="s">
        <v>217</v>
      </c>
    </row>
    <row r="34" spans="2:5" ht="15">
      <c r="B34" s="56" t="s">
        <v>29</v>
      </c>
      <c r="C34" s="57">
        <v>14.66</v>
      </c>
      <c r="D34" s="58" t="s">
        <v>43</v>
      </c>
      <c r="E34" s="58" t="s">
        <v>112</v>
      </c>
    </row>
    <row r="35" spans="2:5" ht="15">
      <c r="B35" s="34" t="s">
        <v>30</v>
      </c>
      <c r="C35" s="57">
        <v>14.97</v>
      </c>
      <c r="D35" s="58" t="s">
        <v>149</v>
      </c>
      <c r="E35" s="58" t="s">
        <v>151</v>
      </c>
    </row>
    <row r="36" spans="2:5" ht="15">
      <c r="B36" s="56" t="s">
        <v>124</v>
      </c>
      <c r="C36" s="57">
        <v>15.68</v>
      </c>
      <c r="D36" s="58" t="s">
        <v>149</v>
      </c>
      <c r="E36" s="58" t="s">
        <v>150</v>
      </c>
    </row>
    <row r="37" spans="2:5" ht="15">
      <c r="B37" s="66"/>
      <c r="C37" s="57"/>
      <c r="D37" s="58"/>
      <c r="E37" s="58"/>
    </row>
    <row r="38" spans="2:5" ht="15">
      <c r="B38" s="66"/>
      <c r="C38" s="57"/>
      <c r="D38" s="58"/>
      <c r="E38" s="58"/>
    </row>
    <row r="39" spans="2:5" ht="15">
      <c r="B39" s="66"/>
      <c r="C39" s="57"/>
      <c r="D39" s="58"/>
      <c r="E39" s="58"/>
    </row>
    <row r="40" spans="2:5" ht="15">
      <c r="B40" s="66"/>
      <c r="C40" s="57"/>
      <c r="D40" s="58"/>
      <c r="E40" s="58"/>
    </row>
    <row r="41" spans="2:5" ht="15">
      <c r="B41" s="66"/>
      <c r="C41" s="57"/>
      <c r="D41" s="58"/>
      <c r="E41" s="58"/>
    </row>
    <row r="42" spans="2:5" ht="15">
      <c r="B42" s="66"/>
      <c r="C42" s="57"/>
      <c r="D42" s="58"/>
      <c r="E42" s="58"/>
    </row>
  </sheetData>
  <sheetProtection/>
  <autoFilter ref="C2:C32">
    <sortState ref="C3:C42">
      <sortCondition sortBy="value" ref="C3:C42"/>
    </sortState>
  </autoFilter>
  <mergeCells count="2">
    <mergeCell ref="B1:E1"/>
    <mergeCell ref="G1:I1"/>
  </mergeCells>
  <printOptions horizontalCentered="1" verticalCentered="1"/>
  <pageMargins left="0.4330708661417323" right="0.4330708661417323" top="0.984251968503937" bottom="0.984251968503937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showZeros="0" zoomScalePageLayoutView="0" workbookViewId="0" topLeftCell="A1">
      <selection activeCell="N18" sqref="N18"/>
    </sheetView>
  </sheetViews>
  <sheetFormatPr defaultColWidth="9.140625" defaultRowHeight="12.75"/>
  <cols>
    <col min="1" max="1" width="14.57421875" style="72" bestFit="1" customWidth="1"/>
    <col min="2" max="2" width="3.7109375" style="72" customWidth="1"/>
    <col min="3" max="3" width="9.7109375" style="72" customWidth="1"/>
    <col min="4" max="4" width="10.7109375" style="138" customWidth="1"/>
    <col min="5" max="5" width="2.7109375" style="72" customWidth="1"/>
    <col min="6" max="6" width="9.7109375" style="72" customWidth="1"/>
    <col min="7" max="7" width="10.7109375" style="141" customWidth="1"/>
    <col min="8" max="8" width="2.7109375" style="72" customWidth="1"/>
    <col min="9" max="9" width="9.7109375" style="72" customWidth="1"/>
    <col min="10" max="10" width="10.7109375" style="138" customWidth="1"/>
    <col min="11" max="11" width="2.7109375" style="72" customWidth="1"/>
    <col min="12" max="12" width="9.7109375" style="72" customWidth="1"/>
    <col min="13" max="13" width="10.7109375" style="138" customWidth="1"/>
    <col min="14" max="16384" width="9.140625" style="72" customWidth="1"/>
  </cols>
  <sheetData>
    <row r="1" ht="12.75">
      <c r="O1" s="73" t="s">
        <v>44</v>
      </c>
    </row>
    <row r="2" spans="2:13" ht="12.75">
      <c r="B2" s="245" t="s">
        <v>22</v>
      </c>
      <c r="C2" s="248"/>
      <c r="D2" s="246"/>
      <c r="E2" s="74"/>
      <c r="F2" s="245" t="s">
        <v>23</v>
      </c>
      <c r="G2" s="246"/>
      <c r="H2" s="74"/>
      <c r="I2" s="245" t="s">
        <v>24</v>
      </c>
      <c r="J2" s="246"/>
      <c r="K2" s="74"/>
      <c r="L2" s="245" t="s">
        <v>45</v>
      </c>
      <c r="M2" s="246"/>
    </row>
    <row r="3" spans="2:13" ht="15" customHeight="1">
      <c r="B3" s="75">
        <v>1</v>
      </c>
      <c r="C3" s="76" t="str">
        <f>Point!B3</f>
        <v>Børge</v>
      </c>
      <c r="D3" s="75">
        <f>Point!C3</f>
        <v>142</v>
      </c>
      <c r="E3" s="73"/>
      <c r="F3" s="140" t="str">
        <f>Money!B3</f>
        <v>Robin</v>
      </c>
      <c r="G3" s="77">
        <f>Money!C3</f>
        <v>25305000</v>
      </c>
      <c r="H3" s="73"/>
      <c r="I3" s="76" t="str">
        <f>'Samlet Stilling'!K3</f>
        <v>Per J.</v>
      </c>
      <c r="J3" s="157">
        <f>'Samlet Stilling'!L3</f>
        <v>29.61111111111111</v>
      </c>
      <c r="K3" s="73"/>
      <c r="L3" s="76" t="str">
        <f>'Samlet Stilling'!O3</f>
        <v>Børge</v>
      </c>
      <c r="M3" s="157">
        <f>'Samlet Stilling'!P3</f>
        <v>1.09</v>
      </c>
    </row>
    <row r="4" spans="2:13" ht="15" customHeight="1">
      <c r="B4" s="75">
        <v>2</v>
      </c>
      <c r="C4" s="76" t="str">
        <f>Point!B4</f>
        <v>Robin</v>
      </c>
      <c r="D4" s="75">
        <f>Point!C4</f>
        <v>128</v>
      </c>
      <c r="E4" s="73"/>
      <c r="F4" s="140" t="str">
        <f>Money!B4</f>
        <v>Børge</v>
      </c>
      <c r="G4" s="77">
        <f>Money!C4</f>
        <v>24140000</v>
      </c>
      <c r="H4" s="73"/>
      <c r="I4" s="76" t="str">
        <f>'Samlet Stilling'!K4</f>
        <v>Robin</v>
      </c>
      <c r="J4" s="157">
        <f>'Samlet Stilling'!L4</f>
        <v>31.555555555555557</v>
      </c>
      <c r="K4" s="73"/>
      <c r="L4" s="76" t="str">
        <f>'Samlet Stilling'!O4</f>
        <v>Carsten L</v>
      </c>
      <c r="M4" s="157">
        <f>'Samlet Stilling'!P4</f>
        <v>1.75</v>
      </c>
    </row>
    <row r="5" spans="2:13" ht="15" customHeight="1">
      <c r="B5" s="75">
        <v>3</v>
      </c>
      <c r="C5" s="76" t="str">
        <f>Point!B5</f>
        <v>Carsten D.</v>
      </c>
      <c r="D5" s="75">
        <f>Point!C5</f>
        <v>97</v>
      </c>
      <c r="E5" s="73"/>
      <c r="F5" s="140" t="str">
        <f>Money!B5</f>
        <v>Morten</v>
      </c>
      <c r="G5" s="77">
        <f>Money!C5</f>
        <v>15775000</v>
      </c>
      <c r="H5" s="73"/>
      <c r="I5" s="76" t="str">
        <f>'Samlet Stilling'!K5</f>
        <v>Børge</v>
      </c>
      <c r="J5" s="157">
        <f>'Samlet Stilling'!L5</f>
        <v>32</v>
      </c>
      <c r="K5" s="73"/>
      <c r="L5" s="76" t="str">
        <f>'Samlet Stilling'!O5</f>
        <v>Per N.</v>
      </c>
      <c r="M5" s="157">
        <f>'Samlet Stilling'!P5</f>
        <v>2.1</v>
      </c>
    </row>
    <row r="6" spans="2:13" ht="15" customHeight="1">
      <c r="B6" s="75">
        <v>4</v>
      </c>
      <c r="C6" s="76" t="str">
        <f>Point!B6</f>
        <v>Per J.</v>
      </c>
      <c r="D6" s="75">
        <f>Point!C6</f>
        <v>93</v>
      </c>
      <c r="E6" s="73"/>
      <c r="F6" s="140" t="str">
        <f>Money!B6</f>
        <v>Per J.</v>
      </c>
      <c r="G6" s="77">
        <f>Money!C6</f>
        <v>14997500</v>
      </c>
      <c r="H6" s="73"/>
      <c r="I6" s="76" t="str">
        <f>'Samlet Stilling'!K6</f>
        <v>Carsten L.</v>
      </c>
      <c r="J6" s="157">
        <f>'Samlet Stilling'!L6</f>
        <v>33</v>
      </c>
      <c r="K6" s="73"/>
      <c r="L6" s="76" t="str">
        <f>'Samlet Stilling'!O6</f>
        <v>Robin</v>
      </c>
      <c r="M6" s="157">
        <f>'Samlet Stilling'!P6</f>
        <v>2.11</v>
      </c>
    </row>
    <row r="7" spans="2:13" ht="15" customHeight="1">
      <c r="B7" s="75">
        <v>5</v>
      </c>
      <c r="C7" s="76" t="str">
        <f>Point!B7</f>
        <v>Morten</v>
      </c>
      <c r="D7" s="75">
        <f>Point!C7</f>
        <v>93</v>
      </c>
      <c r="E7" s="73"/>
      <c r="F7" s="140" t="str">
        <f>Money!B7</f>
        <v>Carsten D.</v>
      </c>
      <c r="G7" s="77">
        <f>Money!C7</f>
        <v>14537500</v>
      </c>
      <c r="H7" s="73"/>
      <c r="I7" s="76" t="str">
        <f>'Samlet Stilling'!K7</f>
        <v>Morten</v>
      </c>
      <c r="J7" s="157">
        <f>'Samlet Stilling'!L7</f>
        <v>34.166666666666664</v>
      </c>
      <c r="K7" s="73"/>
      <c r="L7" s="76" t="str">
        <f>'Samlet Stilling'!O7</f>
        <v>Per J.</v>
      </c>
      <c r="M7" s="157">
        <f>'Samlet Stilling'!P7</f>
        <v>2.45</v>
      </c>
    </row>
    <row r="8" spans="2:13" ht="15" customHeight="1">
      <c r="B8" s="75">
        <v>6</v>
      </c>
      <c r="C8" s="76" t="str">
        <f>Point!B8</f>
        <v>Carsten L.</v>
      </c>
      <c r="D8" s="75">
        <f>Point!C8</f>
        <v>76</v>
      </c>
      <c r="E8" s="73"/>
      <c r="F8" s="140" t="str">
        <f>Money!B8</f>
        <v>Carsten L.</v>
      </c>
      <c r="G8" s="77">
        <f>Money!C8</f>
        <v>12862500</v>
      </c>
      <c r="H8" s="73"/>
      <c r="I8" s="76" t="str">
        <f>'Samlet Stilling'!K8</f>
        <v>Kristian P.</v>
      </c>
      <c r="J8" s="157">
        <f>'Samlet Stilling'!L8</f>
        <v>34.55555555555556</v>
      </c>
      <c r="K8" s="73"/>
      <c r="L8" s="76" t="str">
        <f>'Samlet Stilling'!O8</f>
        <v>Peter</v>
      </c>
      <c r="M8" s="157">
        <f>'Samlet Stilling'!P8</f>
        <v>2.52</v>
      </c>
    </row>
    <row r="9" spans="2:13" ht="15" customHeight="1">
      <c r="B9" s="75">
        <v>7</v>
      </c>
      <c r="C9" s="76" t="str">
        <f>Point!B9</f>
        <v>Jens</v>
      </c>
      <c r="D9" s="75">
        <f>Point!C9</f>
        <v>71</v>
      </c>
      <c r="E9" s="73"/>
      <c r="F9" s="140" t="str">
        <f>Money!B9</f>
        <v>Per N.</v>
      </c>
      <c r="G9" s="77">
        <f>Money!C9</f>
        <v>10302500</v>
      </c>
      <c r="H9" s="73"/>
      <c r="I9" s="76" t="str">
        <f>'Samlet Stilling'!K9</f>
        <v>Peter</v>
      </c>
      <c r="J9" s="157">
        <f>'Samlet Stilling'!L9</f>
        <v>34.833333333333336</v>
      </c>
      <c r="K9" s="73"/>
      <c r="L9" s="76" t="str">
        <f>'Samlet Stilling'!O9</f>
        <v>Per J.</v>
      </c>
      <c r="M9" s="157">
        <f>'Samlet Stilling'!P9</f>
        <v>2.57</v>
      </c>
    </row>
    <row r="10" spans="2:13" ht="15" customHeight="1">
      <c r="B10" s="75">
        <v>8</v>
      </c>
      <c r="C10" s="76" t="str">
        <f>Point!B10</f>
        <v>Per N.</v>
      </c>
      <c r="D10" s="75">
        <f>Point!C10</f>
        <v>68</v>
      </c>
      <c r="E10" s="73"/>
      <c r="F10" s="140" t="str">
        <f>Money!B10</f>
        <v>Kristian P.</v>
      </c>
      <c r="G10" s="77">
        <f>Money!C10</f>
        <v>10260000</v>
      </c>
      <c r="H10" s="73"/>
      <c r="I10" s="76" t="str">
        <f>'Samlet Stilling'!K10</f>
        <v>Erik</v>
      </c>
      <c r="J10" s="157">
        <f>'Samlet Stilling'!L10</f>
        <v>35.111111111111114</v>
      </c>
      <c r="K10" s="73"/>
      <c r="L10" s="76" t="str">
        <f>'Samlet Stilling'!O10</f>
        <v>Ivar</v>
      </c>
      <c r="M10" s="157">
        <f>'Samlet Stilling'!P10</f>
        <v>2.75</v>
      </c>
    </row>
    <row r="11" spans="2:13" ht="15" customHeight="1">
      <c r="B11" s="75">
        <v>9</v>
      </c>
      <c r="C11" s="76" t="str">
        <f>Point!B11</f>
        <v>Kristian P.</v>
      </c>
      <c r="D11" s="75">
        <f>Point!C11</f>
        <v>67</v>
      </c>
      <c r="E11" s="73"/>
      <c r="F11" s="140" t="str">
        <f>Money!B11</f>
        <v>Jens</v>
      </c>
      <c r="G11" s="77">
        <f>Money!C11</f>
        <v>9837500</v>
      </c>
      <c r="H11" s="73"/>
      <c r="I11" s="76" t="str">
        <f>'Samlet Stilling'!K11</f>
        <v>Jesper N.</v>
      </c>
      <c r="J11" s="157">
        <f>'Samlet Stilling'!L11</f>
        <v>35.388888888888886</v>
      </c>
      <c r="K11" s="73"/>
      <c r="L11" s="76" t="str">
        <f>'Samlet Stilling'!O11</f>
        <v>Per J.</v>
      </c>
      <c r="M11" s="157">
        <f>'Samlet Stilling'!P11</f>
        <v>3.25</v>
      </c>
    </row>
    <row r="12" spans="2:13" ht="15" customHeight="1">
      <c r="B12" s="75">
        <v>10</v>
      </c>
      <c r="C12" s="76" t="str">
        <f>Point!B12</f>
        <v>Finn</v>
      </c>
      <c r="D12" s="75">
        <f>Point!C12</f>
        <v>62</v>
      </c>
      <c r="E12" s="73"/>
      <c r="F12" s="140" t="str">
        <f>Money!B12</f>
        <v>Kristian D.</v>
      </c>
      <c r="G12" s="77">
        <f>Money!C12</f>
        <v>9682500</v>
      </c>
      <c r="H12" s="73"/>
      <c r="I12" s="76" t="str">
        <f>'Samlet Stilling'!K12</f>
        <v>Søren</v>
      </c>
      <c r="J12" s="157">
        <f>'Samlet Stilling'!L12</f>
        <v>35.666666666666664</v>
      </c>
      <c r="K12" s="73"/>
      <c r="L12" s="76" t="str">
        <f>'Samlet Stilling'!O12</f>
        <v>Carsten L.</v>
      </c>
      <c r="M12" s="157">
        <f>'Samlet Stilling'!P12</f>
        <v>3.27</v>
      </c>
    </row>
    <row r="13" spans="2:13" ht="15" customHeight="1">
      <c r="B13" s="75">
        <v>11</v>
      </c>
      <c r="C13" s="76" t="str">
        <f>Point!B13</f>
        <v>Kristian D.</v>
      </c>
      <c r="D13" s="75">
        <f>Point!C13</f>
        <v>60</v>
      </c>
      <c r="E13" s="73"/>
      <c r="F13" s="140" t="str">
        <f>Money!B13</f>
        <v>Finn</v>
      </c>
      <c r="G13" s="77">
        <f>Money!C13</f>
        <v>9182500</v>
      </c>
      <c r="H13" s="73"/>
      <c r="I13" s="76" t="str">
        <f>'Samlet Stilling'!K13</f>
        <v>Carsten D.</v>
      </c>
      <c r="J13" s="157">
        <f>'Samlet Stilling'!L13</f>
        <v>35.666666666666664</v>
      </c>
      <c r="K13" s="73"/>
      <c r="L13" s="76" t="str">
        <f>'Samlet Stilling'!O13</f>
        <v>Kristian D.</v>
      </c>
      <c r="M13" s="157">
        <f>'Samlet Stilling'!P13</f>
        <v>3.76</v>
      </c>
    </row>
    <row r="14" spans="2:13" ht="15" customHeight="1">
      <c r="B14" s="75">
        <v>12</v>
      </c>
      <c r="C14" s="76" t="str">
        <f>Point!B14</f>
        <v>John</v>
      </c>
      <c r="D14" s="75">
        <f>Point!C14</f>
        <v>58</v>
      </c>
      <c r="E14" s="73"/>
      <c r="F14" s="140" t="str">
        <f>Money!B14</f>
        <v>John</v>
      </c>
      <c r="G14" s="77">
        <f>Money!C14</f>
        <v>8105000</v>
      </c>
      <c r="H14" s="73"/>
      <c r="I14" s="76" t="str">
        <f>'Samlet Stilling'!K14</f>
        <v>Finn</v>
      </c>
      <c r="J14" s="157">
        <f>'Samlet Stilling'!L14</f>
        <v>36.22222222222222</v>
      </c>
      <c r="K14" s="73"/>
      <c r="L14" s="245" t="s">
        <v>251</v>
      </c>
      <c r="M14" s="246"/>
    </row>
    <row r="15" spans="2:13" ht="15" customHeight="1">
      <c r="B15" s="75">
        <v>13</v>
      </c>
      <c r="C15" s="76" t="str">
        <f>Point!B15</f>
        <v>Jesper N.</v>
      </c>
      <c r="D15" s="75">
        <f>Point!C15</f>
        <v>47</v>
      </c>
      <c r="E15" s="73"/>
      <c r="F15" s="140" t="str">
        <f>Money!B15</f>
        <v>Jesper N.</v>
      </c>
      <c r="G15" s="77">
        <f>Money!C15</f>
        <v>8072500</v>
      </c>
      <c r="H15" s="73"/>
      <c r="I15" s="76" t="str">
        <f>'Samlet Stilling'!K15</f>
        <v>Jens</v>
      </c>
      <c r="J15" s="157">
        <f>'Samlet Stilling'!L15</f>
        <v>36.44444444444444</v>
      </c>
      <c r="K15" s="73"/>
      <c r="L15" s="76" t="str">
        <f>'Samlet Stilling'!O15</f>
        <v>Robin</v>
      </c>
      <c r="M15" s="230">
        <v>1</v>
      </c>
    </row>
    <row r="16" spans="2:13" ht="15" customHeight="1">
      <c r="B16" s="75">
        <v>14</v>
      </c>
      <c r="C16" s="76" t="str">
        <f>Point!B16</f>
        <v>Erik</v>
      </c>
      <c r="D16" s="75">
        <f>Point!C16</f>
        <v>39</v>
      </c>
      <c r="E16" s="73"/>
      <c r="F16" s="140" t="str">
        <f>Money!B16</f>
        <v>Erik</v>
      </c>
      <c r="G16" s="77">
        <f>Money!C16</f>
        <v>7400000</v>
      </c>
      <c r="H16" s="73"/>
      <c r="I16" s="76" t="str">
        <f>'Samlet Stilling'!K16</f>
        <v>Kristian D.</v>
      </c>
      <c r="J16" s="157">
        <f>'Samlet Stilling'!L16</f>
        <v>36.44444444444444</v>
      </c>
      <c r="K16" s="73"/>
      <c r="L16" s="76" t="str">
        <f>'Samlet Stilling'!O16</f>
        <v>Børge</v>
      </c>
      <c r="M16" s="230">
        <v>2</v>
      </c>
    </row>
    <row r="17" spans="2:13" ht="15" customHeight="1">
      <c r="B17" s="75">
        <v>15</v>
      </c>
      <c r="C17" s="76" t="str">
        <f>Point!B17</f>
        <v>Peter</v>
      </c>
      <c r="D17" s="75">
        <f>Point!C17</f>
        <v>32</v>
      </c>
      <c r="E17" s="73"/>
      <c r="F17" s="140" t="str">
        <f>Money!B17</f>
        <v>Peter</v>
      </c>
      <c r="G17" s="77">
        <f>Money!C17</f>
        <v>5500000</v>
      </c>
      <c r="H17" s="73"/>
      <c r="I17" s="76" t="str">
        <f>'Samlet Stilling'!K17</f>
        <v>John</v>
      </c>
      <c r="J17" s="157">
        <f>'Samlet Stilling'!L17</f>
        <v>36.55555555555556</v>
      </c>
      <c r="K17" s="73"/>
      <c r="L17" s="76" t="str">
        <f>'Samlet Stilling'!O17</f>
        <v>Per N.</v>
      </c>
      <c r="M17" s="230" t="s">
        <v>206</v>
      </c>
    </row>
    <row r="18" spans="2:13" ht="15" customHeight="1">
      <c r="B18" s="75">
        <v>16</v>
      </c>
      <c r="C18" s="76" t="str">
        <f>Point!B18</f>
        <v>Bo</v>
      </c>
      <c r="D18" s="75">
        <f>Point!C18</f>
        <v>29</v>
      </c>
      <c r="E18" s="73"/>
      <c r="F18" s="140" t="str">
        <f>Money!B18</f>
        <v>Bo</v>
      </c>
      <c r="G18" s="77">
        <f>Money!C18</f>
        <v>4910000</v>
      </c>
      <c r="H18" s="73"/>
      <c r="I18" s="76" t="str">
        <f>'Samlet Stilling'!K18</f>
        <v>Jesper H.</v>
      </c>
      <c r="J18" s="157">
        <f>'Samlet Stilling'!L18</f>
        <v>36.611111111111114</v>
      </c>
      <c r="K18" s="73"/>
      <c r="L18" s="76" t="str">
        <f>'Samlet Stilling'!O18</f>
        <v>Søren</v>
      </c>
      <c r="M18" s="230" t="s">
        <v>206</v>
      </c>
    </row>
    <row r="19" spans="2:13" ht="15" customHeight="1">
      <c r="B19" s="75">
        <v>17</v>
      </c>
      <c r="C19" s="76" t="str">
        <f>Point!B19</f>
        <v>Søren</v>
      </c>
      <c r="D19" s="75">
        <f>Point!C19</f>
        <v>24</v>
      </c>
      <c r="E19" s="73"/>
      <c r="F19" s="140" t="str">
        <f>Money!B19</f>
        <v>Søren</v>
      </c>
      <c r="G19" s="77">
        <f>Money!C19</f>
        <v>4600000</v>
      </c>
      <c r="H19" s="73"/>
      <c r="I19" s="76" t="str">
        <f>'Samlet Stilling'!K19</f>
        <v>Per N.</v>
      </c>
      <c r="J19" s="157">
        <f>'Samlet Stilling'!L19</f>
        <v>36.77777777777778</v>
      </c>
      <c r="K19" s="73"/>
      <c r="L19" s="76" t="str">
        <f>'Samlet Stilling'!O19</f>
        <v>Jens</v>
      </c>
      <c r="M19" s="230" t="s">
        <v>252</v>
      </c>
    </row>
    <row r="20" spans="2:13" ht="15" customHeight="1">
      <c r="B20" s="75">
        <v>18</v>
      </c>
      <c r="C20" s="76" t="str">
        <f>Point!B20</f>
        <v>Ib</v>
      </c>
      <c r="D20" s="75">
        <f>Point!C20</f>
        <v>22</v>
      </c>
      <c r="E20" s="73"/>
      <c r="F20" s="140" t="str">
        <f>Money!B20</f>
        <v>Ivar</v>
      </c>
      <c r="G20" s="77">
        <f>Money!C20</f>
        <v>3570000</v>
      </c>
      <c r="H20" s="73"/>
      <c r="I20" s="76" t="str">
        <f>'Samlet Stilling'!K20</f>
        <v>Ib</v>
      </c>
      <c r="J20" s="157">
        <f>'Samlet Stilling'!L20</f>
        <v>37.166666666666664</v>
      </c>
      <c r="K20" s="73"/>
      <c r="L20" s="76" t="str">
        <f>'Samlet Stilling'!O20</f>
        <v>Finn</v>
      </c>
      <c r="M20" s="230" t="s">
        <v>252</v>
      </c>
    </row>
    <row r="21" spans="2:13" ht="15" customHeight="1">
      <c r="B21" s="75">
        <v>19</v>
      </c>
      <c r="C21" s="76" t="str">
        <f>Point!B21</f>
        <v>Kaj</v>
      </c>
      <c r="D21" s="75">
        <f>Point!C21</f>
        <v>17</v>
      </c>
      <c r="E21" s="73"/>
      <c r="F21" s="140" t="str">
        <f>Money!B21</f>
        <v>Ib</v>
      </c>
      <c r="G21" s="77">
        <f>Money!C21</f>
        <v>3440000</v>
      </c>
      <c r="H21" s="73"/>
      <c r="I21" s="76" t="str">
        <f>'Samlet Stilling'!K21</f>
        <v>Ivar</v>
      </c>
      <c r="J21" s="157">
        <f>'Samlet Stilling'!L21</f>
        <v>37.388888888888886</v>
      </c>
      <c r="K21" s="73"/>
      <c r="L21" s="76" t="str">
        <f>'Samlet Stilling'!O21</f>
        <v>John</v>
      </c>
      <c r="M21" s="230" t="s">
        <v>252</v>
      </c>
    </row>
    <row r="22" spans="2:13" ht="15" customHeight="1">
      <c r="B22" s="75">
        <v>20</v>
      </c>
      <c r="C22" s="76" t="str">
        <f>Point!B22</f>
        <v>Thorkild</v>
      </c>
      <c r="D22" s="75">
        <f>Point!C22</f>
        <v>15</v>
      </c>
      <c r="E22" s="73"/>
      <c r="F22" s="140" t="str">
        <f>Money!B22</f>
        <v>Thorkild</v>
      </c>
      <c r="G22" s="77">
        <f>Money!C22</f>
        <v>2662500</v>
      </c>
      <c r="H22" s="73"/>
      <c r="I22" s="76" t="str">
        <f>'Samlet Stilling'!K22</f>
        <v>Henning</v>
      </c>
      <c r="J22" s="157">
        <f>'Samlet Stilling'!L22</f>
        <v>37.5</v>
      </c>
      <c r="K22" s="73"/>
      <c r="L22" s="76" t="str">
        <f>'Samlet Stilling'!O22</f>
        <v>Erik</v>
      </c>
      <c r="M22" s="230" t="s">
        <v>252</v>
      </c>
    </row>
    <row r="23" spans="2:13" ht="15" customHeight="1">
      <c r="B23" s="75">
        <v>21</v>
      </c>
      <c r="C23" s="76" t="str">
        <f>Point!B23</f>
        <v>Henning</v>
      </c>
      <c r="D23" s="75">
        <f>Point!C23</f>
        <v>13</v>
      </c>
      <c r="E23" s="73"/>
      <c r="F23" s="140" t="str">
        <f>Money!B23</f>
        <v>Henning</v>
      </c>
      <c r="G23" s="77">
        <f>Money!C23</f>
        <v>2580000</v>
      </c>
      <c r="H23" s="73"/>
      <c r="I23" s="76" t="str">
        <f>'Samlet Stilling'!K23</f>
        <v>Bo</v>
      </c>
      <c r="J23" s="157">
        <f>'Samlet Stilling'!L23</f>
        <v>38.111111111111114</v>
      </c>
      <c r="K23" s="73"/>
      <c r="L23" s="245" t="s">
        <v>55</v>
      </c>
      <c r="M23" s="246"/>
    </row>
    <row r="24" spans="2:13" ht="15" customHeight="1">
      <c r="B24" s="75">
        <v>22</v>
      </c>
      <c r="C24" s="76" t="str">
        <f>Point!B24</f>
        <v>Ivar</v>
      </c>
      <c r="D24" s="75">
        <f>Point!C24</f>
        <v>12</v>
      </c>
      <c r="E24" s="73"/>
      <c r="F24" s="140" t="str">
        <f>Money!B24</f>
        <v>Kaj</v>
      </c>
      <c r="G24" s="77">
        <f>Money!C24</f>
        <v>2087500</v>
      </c>
      <c r="H24" s="73"/>
      <c r="I24" s="76" t="str">
        <f>'Samlet Stilling'!K24</f>
        <v>Kaj</v>
      </c>
      <c r="J24" s="157">
        <f>'Samlet Stilling'!L24</f>
        <v>38.22222222222222</v>
      </c>
      <c r="K24" s="73"/>
      <c r="L24" s="78" t="str">
        <f>'Tæt-flag'!G3</f>
        <v>Søren</v>
      </c>
      <c r="M24" s="78" t="str">
        <f>'Tæt-flag'!H3</f>
        <v>Dejbjerg 8</v>
      </c>
    </row>
    <row r="25" spans="2:13" ht="15" customHeight="1">
      <c r="B25" s="75">
        <v>23</v>
      </c>
      <c r="C25" s="76" t="str">
        <f>Point!B25</f>
        <v>Jesper H.</v>
      </c>
      <c r="D25" s="75">
        <f>Point!C25</f>
        <v>8</v>
      </c>
      <c r="E25" s="73"/>
      <c r="F25" s="140" t="str">
        <f>Money!B25</f>
        <v>Jesper H.</v>
      </c>
      <c r="G25" s="77">
        <f>Money!C25</f>
        <v>1300000</v>
      </c>
      <c r="H25" s="73"/>
      <c r="I25" s="76" t="str">
        <f>'Samlet Stilling'!K25</f>
        <v>Thorkild</v>
      </c>
      <c r="J25" s="157">
        <f>'Samlet Stilling'!L25</f>
        <v>38.27777777777778</v>
      </c>
      <c r="K25" s="73"/>
      <c r="L25" s="78" t="str">
        <f>'Tæt-flag'!G4</f>
        <v>Robin</v>
      </c>
      <c r="M25" s="78" t="str">
        <f>'Tæt-flag'!H4</f>
        <v>Tinglev 18</v>
      </c>
    </row>
    <row r="26" spans="2:13" ht="15" customHeight="1">
      <c r="B26" s="75">
        <v>24</v>
      </c>
      <c r="C26" s="76" t="str">
        <f>Point!B26</f>
        <v>Torben</v>
      </c>
      <c r="D26" s="75">
        <f>Point!C26</f>
        <v>0</v>
      </c>
      <c r="E26" s="73"/>
      <c r="F26" s="140" t="str">
        <f>Money!B26</f>
        <v>Torben</v>
      </c>
      <c r="G26" s="77">
        <f>Money!C26</f>
        <v>350000</v>
      </c>
      <c r="H26" s="73"/>
      <c r="I26" s="76" t="str">
        <f>'Samlet Stilling'!K26</f>
        <v>Torben</v>
      </c>
      <c r="J26" s="157">
        <f>'Samlet Stilling'!L26</f>
        <v>38.27777777777778</v>
      </c>
      <c r="K26" s="73"/>
      <c r="L26" s="78" t="str">
        <f>'Tæt-flag'!G5</f>
        <v>Carsten L</v>
      </c>
      <c r="M26" s="78" t="str">
        <f>'Tæt-flag'!H5</f>
        <v>Skoven 2</v>
      </c>
    </row>
    <row r="27" spans="1:14" ht="12.75">
      <c r="A27" s="73"/>
      <c r="B27" s="73"/>
      <c r="C27" s="73"/>
      <c r="D27" s="139"/>
      <c r="E27" s="73"/>
      <c r="F27" s="73"/>
      <c r="G27" s="142"/>
      <c r="H27" s="73"/>
      <c r="I27" s="73"/>
      <c r="J27" s="139"/>
      <c r="K27" s="73"/>
      <c r="L27" s="73"/>
      <c r="M27" s="139"/>
      <c r="N27" s="73"/>
    </row>
    <row r="28" spans="1:15" ht="12.75">
      <c r="A28" s="79" t="s">
        <v>46</v>
      </c>
      <c r="B28" s="79">
        <v>3</v>
      </c>
      <c r="C28" s="79">
        <v>9</v>
      </c>
      <c r="D28" s="80">
        <v>10</v>
      </c>
      <c r="E28" s="79">
        <v>2</v>
      </c>
      <c r="F28" s="79">
        <v>9</v>
      </c>
      <c r="G28" s="143">
        <v>10</v>
      </c>
      <c r="H28" s="79">
        <v>2</v>
      </c>
      <c r="I28" s="79">
        <v>9</v>
      </c>
      <c r="J28" s="80">
        <v>10</v>
      </c>
      <c r="K28" s="79">
        <v>2</v>
      </c>
      <c r="L28" s="79">
        <v>9</v>
      </c>
      <c r="M28" s="80">
        <v>10</v>
      </c>
      <c r="N28" s="79"/>
      <c r="O28" s="79">
        <f>SUM(B28:M28)</f>
        <v>85</v>
      </c>
    </row>
    <row r="29" spans="1:15" ht="12.75">
      <c r="A29" s="79" t="s">
        <v>47</v>
      </c>
      <c r="B29" s="79">
        <f>B28*D34</f>
        <v>22.5</v>
      </c>
      <c r="C29" s="79">
        <f>C28*D34</f>
        <v>67.5</v>
      </c>
      <c r="D29" s="80">
        <f>D28*D34</f>
        <v>75</v>
      </c>
      <c r="E29" s="79">
        <f>E28*D34</f>
        <v>15</v>
      </c>
      <c r="F29" s="79">
        <f>F28*D34</f>
        <v>67.5</v>
      </c>
      <c r="G29" s="143">
        <f>G28*D34</f>
        <v>75</v>
      </c>
      <c r="H29" s="79">
        <f>H28*D34</f>
        <v>15</v>
      </c>
      <c r="I29" s="79">
        <f>I28*D34</f>
        <v>67.5</v>
      </c>
      <c r="J29" s="80">
        <f>J28*D34</f>
        <v>75</v>
      </c>
      <c r="K29" s="79">
        <f>K28*D34</f>
        <v>15</v>
      </c>
      <c r="L29" s="79">
        <f>L28*D34</f>
        <v>67.5</v>
      </c>
      <c r="M29" s="80">
        <f>M28*D34</f>
        <v>75</v>
      </c>
      <c r="N29" s="79"/>
      <c r="O29" s="79">
        <f>SUM(B29:M29)</f>
        <v>637.5</v>
      </c>
    </row>
    <row r="30" spans="1:15" ht="12.75">
      <c r="A30" s="79"/>
      <c r="B30" s="79"/>
      <c r="C30" s="79"/>
      <c r="D30" s="80"/>
      <c r="E30" s="79"/>
      <c r="F30" s="79"/>
      <c r="G30" s="143"/>
      <c r="H30" s="79"/>
      <c r="I30" s="79"/>
      <c r="J30" s="80"/>
      <c r="K30" s="79"/>
      <c r="L30" s="79"/>
      <c r="M30" s="80"/>
      <c r="N30" s="79"/>
      <c r="O30" s="79"/>
    </row>
    <row r="31" spans="1:15" ht="12.75">
      <c r="A31" s="79" t="s">
        <v>48</v>
      </c>
      <c r="B31" s="247">
        <f>SUM(B29:D29)</f>
        <v>165</v>
      </c>
      <c r="C31" s="247"/>
      <c r="D31" s="247"/>
      <c r="E31" s="80"/>
      <c r="F31" s="247">
        <f>SUM(F29:G29)</f>
        <v>142.5</v>
      </c>
      <c r="G31" s="247"/>
      <c r="H31" s="79"/>
      <c r="I31" s="247">
        <f>SUM(I29:J29)</f>
        <v>142.5</v>
      </c>
      <c r="J31" s="247"/>
      <c r="K31" s="79"/>
      <c r="L31" s="247">
        <f>SUM(L29:M29)</f>
        <v>142.5</v>
      </c>
      <c r="M31" s="247"/>
      <c r="N31" s="79"/>
      <c r="O31" s="79"/>
    </row>
    <row r="32" spans="1:15" ht="12.75">
      <c r="A32" s="79"/>
      <c r="B32" s="79"/>
      <c r="C32" s="79"/>
      <c r="D32" s="80"/>
      <c r="E32" s="79"/>
      <c r="F32" s="79"/>
      <c r="G32" s="143"/>
      <c r="H32" s="79"/>
      <c r="I32" s="79"/>
      <c r="J32" s="80"/>
      <c r="K32" s="79"/>
      <c r="L32" s="79"/>
      <c r="M32" s="80"/>
      <c r="N32" s="79"/>
      <c r="O32" s="79"/>
    </row>
    <row r="33" spans="1:15" ht="12.75">
      <c r="A33" s="79"/>
      <c r="B33" s="79"/>
      <c r="C33" s="79"/>
      <c r="D33" s="80"/>
      <c r="E33" s="79"/>
      <c r="F33" s="79"/>
      <c r="G33" s="143"/>
      <c r="H33" s="79"/>
      <c r="I33" s="79"/>
      <c r="J33" s="80"/>
      <c r="K33" s="79"/>
      <c r="L33" s="79"/>
      <c r="M33" s="80"/>
      <c r="N33" s="79"/>
      <c r="O33" s="79"/>
    </row>
    <row r="34" spans="1:15" ht="12.75">
      <c r="A34" s="79" t="s">
        <v>49</v>
      </c>
      <c r="B34" s="79"/>
      <c r="C34" s="79"/>
      <c r="D34" s="80">
        <v>7.5</v>
      </c>
      <c r="E34" s="79"/>
      <c r="F34" s="79"/>
      <c r="G34" s="143"/>
      <c r="H34" s="79"/>
      <c r="I34" s="79"/>
      <c r="J34" s="80"/>
      <c r="K34" s="79"/>
      <c r="L34" s="79"/>
      <c r="M34" s="80"/>
      <c r="N34" s="79"/>
      <c r="O34" s="79"/>
    </row>
    <row r="35" spans="1:15" ht="12.75">
      <c r="A35" s="79"/>
      <c r="B35" s="79"/>
      <c r="C35" s="79"/>
      <c r="D35" s="80"/>
      <c r="E35" s="79"/>
      <c r="F35" s="79"/>
      <c r="G35" s="143"/>
      <c r="H35" s="79"/>
      <c r="I35" s="79"/>
      <c r="J35" s="80"/>
      <c r="K35" s="79"/>
      <c r="L35" s="79"/>
      <c r="M35" s="80"/>
      <c r="N35" s="79"/>
      <c r="O35" s="79"/>
    </row>
    <row r="36" spans="1:15" ht="12.75">
      <c r="A36" s="79"/>
      <c r="B36" s="79"/>
      <c r="C36" s="79"/>
      <c r="D36" s="80"/>
      <c r="E36" s="79"/>
      <c r="F36" s="79"/>
      <c r="G36" s="143"/>
      <c r="H36" s="79"/>
      <c r="I36" s="79"/>
      <c r="J36" s="80"/>
      <c r="K36" s="79"/>
      <c r="L36" s="79"/>
      <c r="M36" s="80"/>
      <c r="N36" s="79"/>
      <c r="O36" s="79"/>
    </row>
    <row r="37" spans="1:14" ht="12.75">
      <c r="A37" s="73"/>
      <c r="B37" s="73"/>
      <c r="C37" s="73"/>
      <c r="D37" s="139"/>
      <c r="E37" s="73"/>
      <c r="F37" s="73"/>
      <c r="G37" s="142"/>
      <c r="H37" s="73"/>
      <c r="I37" s="73"/>
      <c r="J37" s="139"/>
      <c r="K37" s="73"/>
      <c r="L37" s="73"/>
      <c r="M37" s="139"/>
      <c r="N37" s="73"/>
    </row>
    <row r="38" spans="1:14" ht="12.75">
      <c r="A38" s="73"/>
      <c r="B38" s="73"/>
      <c r="C38" s="73"/>
      <c r="D38" s="139"/>
      <c r="E38" s="73"/>
      <c r="F38" s="73"/>
      <c r="G38" s="142"/>
      <c r="H38" s="73"/>
      <c r="I38" s="73"/>
      <c r="J38" s="139"/>
      <c r="K38" s="73"/>
      <c r="L38" s="73"/>
      <c r="M38" s="139"/>
      <c r="N38" s="73"/>
    </row>
    <row r="39" spans="1:14" ht="12.75">
      <c r="A39" s="73"/>
      <c r="B39" s="73"/>
      <c r="C39" s="73"/>
      <c r="D39" s="139"/>
      <c r="E39" s="73"/>
      <c r="F39" s="73"/>
      <c r="G39" s="142"/>
      <c r="H39" s="73"/>
      <c r="I39" s="73"/>
      <c r="J39" s="139"/>
      <c r="K39" s="73"/>
      <c r="L39" s="73"/>
      <c r="M39" s="139"/>
      <c r="N39" s="73"/>
    </row>
    <row r="40" spans="1:14" ht="12.75">
      <c r="A40" s="73"/>
      <c r="B40" s="73"/>
      <c r="C40" s="73"/>
      <c r="D40" s="139"/>
      <c r="E40" s="73"/>
      <c r="F40" s="73"/>
      <c r="G40" s="142"/>
      <c r="H40" s="73"/>
      <c r="I40" s="73"/>
      <c r="J40" s="139"/>
      <c r="K40" s="73"/>
      <c r="L40" s="73"/>
      <c r="M40" s="139"/>
      <c r="N40" s="73"/>
    </row>
    <row r="41" spans="1:14" ht="12.75">
      <c r="A41" s="73"/>
      <c r="B41" s="73"/>
      <c r="C41" s="73"/>
      <c r="D41" s="139"/>
      <c r="E41" s="73"/>
      <c r="F41" s="73"/>
      <c r="G41" s="142"/>
      <c r="H41" s="73"/>
      <c r="I41" s="73"/>
      <c r="J41" s="139"/>
      <c r="K41" s="73"/>
      <c r="L41" s="73"/>
      <c r="M41" s="139"/>
      <c r="N41" s="73"/>
    </row>
    <row r="42" spans="1:14" ht="12.75">
      <c r="A42" s="73"/>
      <c r="B42" s="73"/>
      <c r="C42" s="73"/>
      <c r="D42" s="139"/>
      <c r="E42" s="73"/>
      <c r="F42" s="73"/>
      <c r="G42" s="142"/>
      <c r="H42" s="73"/>
      <c r="I42" s="73"/>
      <c r="J42" s="139"/>
      <c r="K42" s="73"/>
      <c r="L42" s="73"/>
      <c r="M42" s="139"/>
      <c r="N42" s="73"/>
    </row>
    <row r="43" spans="1:14" ht="12.75">
      <c r="A43" s="73"/>
      <c r="B43" s="73"/>
      <c r="C43" s="73"/>
      <c r="D43" s="139"/>
      <c r="E43" s="73"/>
      <c r="F43" s="73"/>
      <c r="G43" s="142"/>
      <c r="H43" s="73"/>
      <c r="I43" s="73"/>
      <c r="J43" s="139"/>
      <c r="K43" s="73"/>
      <c r="L43" s="73"/>
      <c r="M43" s="139"/>
      <c r="N43" s="73"/>
    </row>
    <row r="44" spans="1:14" ht="12.75">
      <c r="A44" s="73"/>
      <c r="B44" s="73"/>
      <c r="C44" s="73"/>
      <c r="D44" s="139"/>
      <c r="E44" s="73"/>
      <c r="F44" s="73"/>
      <c r="G44" s="142"/>
      <c r="H44" s="73"/>
      <c r="I44" s="73"/>
      <c r="J44" s="139"/>
      <c r="K44" s="73"/>
      <c r="L44" s="73"/>
      <c r="M44" s="139"/>
      <c r="N44" s="73"/>
    </row>
    <row r="45" spans="1:14" ht="12.75">
      <c r="A45" s="73"/>
      <c r="B45" s="73"/>
      <c r="C45" s="73"/>
      <c r="D45" s="139"/>
      <c r="E45" s="73"/>
      <c r="F45" s="73"/>
      <c r="G45" s="142"/>
      <c r="H45" s="73"/>
      <c r="I45" s="73"/>
      <c r="J45" s="139"/>
      <c r="K45" s="73"/>
      <c r="L45" s="73"/>
      <c r="M45" s="139"/>
      <c r="N45" s="73"/>
    </row>
    <row r="46" spans="1:14" ht="12.75">
      <c r="A46" s="73"/>
      <c r="B46" s="73"/>
      <c r="C46" s="73"/>
      <c r="D46" s="139"/>
      <c r="E46" s="73"/>
      <c r="F46" s="73"/>
      <c r="G46" s="142"/>
      <c r="H46" s="73"/>
      <c r="I46" s="73"/>
      <c r="J46" s="139"/>
      <c r="K46" s="73"/>
      <c r="L46" s="73"/>
      <c r="M46" s="139"/>
      <c r="N46" s="73"/>
    </row>
    <row r="47" spans="1:14" ht="12.75">
      <c r="A47" s="73"/>
      <c r="B47" s="73"/>
      <c r="C47" s="73"/>
      <c r="D47" s="139"/>
      <c r="E47" s="73"/>
      <c r="F47" s="73"/>
      <c r="G47" s="142"/>
      <c r="H47" s="73"/>
      <c r="I47" s="73"/>
      <c r="J47" s="139"/>
      <c r="K47" s="73"/>
      <c r="L47" s="73"/>
      <c r="M47" s="139"/>
      <c r="N47" s="73"/>
    </row>
    <row r="48" spans="1:14" ht="12.75">
      <c r="A48" s="73"/>
      <c r="B48" s="73"/>
      <c r="C48" s="73"/>
      <c r="D48" s="139"/>
      <c r="E48" s="73"/>
      <c r="F48" s="73"/>
      <c r="G48" s="142"/>
      <c r="H48" s="73"/>
      <c r="I48" s="73"/>
      <c r="J48" s="139"/>
      <c r="K48" s="73"/>
      <c r="L48" s="73"/>
      <c r="M48" s="139"/>
      <c r="N48" s="73"/>
    </row>
    <row r="49" spans="1:14" ht="12.75">
      <c r="A49" s="73"/>
      <c r="B49" s="73"/>
      <c r="C49" s="73"/>
      <c r="D49" s="139"/>
      <c r="E49" s="73"/>
      <c r="F49" s="73"/>
      <c r="G49" s="142"/>
      <c r="H49" s="73"/>
      <c r="I49" s="73"/>
      <c r="J49" s="139"/>
      <c r="K49" s="73"/>
      <c r="L49" s="73"/>
      <c r="M49" s="139"/>
      <c r="N49" s="73"/>
    </row>
    <row r="50" spans="1:14" ht="12.75">
      <c r="A50" s="73"/>
      <c r="B50" s="73"/>
      <c r="C50" s="73"/>
      <c r="D50" s="139"/>
      <c r="E50" s="73"/>
      <c r="F50" s="73"/>
      <c r="G50" s="142"/>
      <c r="H50" s="73"/>
      <c r="I50" s="73"/>
      <c r="J50" s="139"/>
      <c r="K50" s="73"/>
      <c r="L50" s="73"/>
      <c r="M50" s="139"/>
      <c r="N50" s="73"/>
    </row>
  </sheetData>
  <sheetProtection/>
  <mergeCells count="10">
    <mergeCell ref="B2:D2"/>
    <mergeCell ref="F2:G2"/>
    <mergeCell ref="I2:J2"/>
    <mergeCell ref="L2:M2"/>
    <mergeCell ref="L14:M14"/>
    <mergeCell ref="L23:M23"/>
    <mergeCell ref="B31:D31"/>
    <mergeCell ref="F31:G31"/>
    <mergeCell ref="I31:J31"/>
    <mergeCell ref="L31:M3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workbookViewId="0" topLeftCell="B2">
      <selection activeCell="I9" sqref="I9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11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68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244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9" s="4" customFormat="1" ht="29.25" customHeight="1">
      <c r="C3" s="250" t="s">
        <v>245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Q3" s="198"/>
      <c r="R3" s="198"/>
      <c r="S3" s="198"/>
    </row>
    <row r="4" spans="2:19" s="7" customFormat="1" ht="27" customHeight="1">
      <c r="B4" s="5" t="s">
        <v>0</v>
      </c>
      <c r="C4" s="6" t="s">
        <v>1</v>
      </c>
      <c r="D4" s="6" t="s">
        <v>7</v>
      </c>
      <c r="E4" s="169" t="s">
        <v>227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  <c r="Q4" s="199"/>
      <c r="R4" s="7" t="s">
        <v>2</v>
      </c>
      <c r="S4" s="7" t="s">
        <v>215</v>
      </c>
    </row>
    <row r="5" spans="2:19" s="107" customFormat="1" ht="18" customHeight="1">
      <c r="B5" s="117" t="s">
        <v>30</v>
      </c>
      <c r="C5" s="118">
        <v>9.5</v>
      </c>
      <c r="D5" s="105">
        <v>57</v>
      </c>
      <c r="E5" s="108">
        <v>28.666666666666668</v>
      </c>
      <c r="F5" s="104" t="s">
        <v>18</v>
      </c>
      <c r="G5" s="105">
        <v>1</v>
      </c>
      <c r="H5" s="113">
        <v>10</v>
      </c>
      <c r="I5" s="106">
        <v>3750000</v>
      </c>
      <c r="J5" s="122">
        <f aca="true" t="shared" si="0" ref="J5:J28">IF(F5&gt;0,$O$16,0)+IF(D5,50000,0)</f>
        <v>650000</v>
      </c>
      <c r="K5" s="125"/>
      <c r="L5" s="125"/>
      <c r="M5" s="125"/>
      <c r="Q5" s="200"/>
      <c r="R5" s="103">
        <v>47</v>
      </c>
      <c r="S5" s="196">
        <f>R5*18/27</f>
        <v>31.333333333333332</v>
      </c>
    </row>
    <row r="6" spans="2:19" s="107" customFormat="1" ht="18" customHeight="1">
      <c r="B6" s="100" t="s">
        <v>59</v>
      </c>
      <c r="C6" s="101">
        <v>21.4</v>
      </c>
      <c r="D6" s="110">
        <v>52</v>
      </c>
      <c r="E6" s="108">
        <v>32.666666666666664</v>
      </c>
      <c r="F6" s="104"/>
      <c r="G6" s="105">
        <v>2</v>
      </c>
      <c r="H6" s="109">
        <v>8</v>
      </c>
      <c r="I6" s="106">
        <f aca="true" t="shared" si="1" ref="I6:I12">O8+J6</f>
        <v>2050000</v>
      </c>
      <c r="J6" s="122">
        <f t="shared" si="0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200"/>
      <c r="R6" s="108"/>
      <c r="S6" s="196">
        <f aca="true" t="shared" si="2" ref="S6:S28">R6*18/27</f>
        <v>0</v>
      </c>
    </row>
    <row r="7" spans="2:19" s="107" customFormat="1" ht="18" customHeight="1">
      <c r="B7" s="100" t="s">
        <v>61</v>
      </c>
      <c r="C7" s="101">
        <v>8.7</v>
      </c>
      <c r="D7" s="105">
        <v>49</v>
      </c>
      <c r="E7" s="108">
        <v>32</v>
      </c>
      <c r="F7" s="104" t="s">
        <v>259</v>
      </c>
      <c r="G7" s="110">
        <v>3</v>
      </c>
      <c r="H7" s="109">
        <v>6</v>
      </c>
      <c r="I7" s="106">
        <f t="shared" si="1"/>
        <v>2150000</v>
      </c>
      <c r="J7" s="122">
        <f t="shared" si="0"/>
        <v>650000</v>
      </c>
      <c r="K7" s="128" t="s">
        <v>8</v>
      </c>
      <c r="L7" s="129"/>
      <c r="M7" s="130"/>
      <c r="N7" s="113">
        <v>10</v>
      </c>
      <c r="O7" s="106">
        <f>O15*25%</f>
        <v>2500000</v>
      </c>
      <c r="Q7" s="200"/>
      <c r="R7" s="108">
        <v>50</v>
      </c>
      <c r="S7" s="196">
        <f t="shared" si="2"/>
        <v>33.333333333333336</v>
      </c>
    </row>
    <row r="8" spans="2:19" s="107" customFormat="1" ht="18" customHeight="1">
      <c r="B8" s="100" t="s">
        <v>29</v>
      </c>
      <c r="C8" s="111">
        <v>7.8</v>
      </c>
      <c r="D8" s="105">
        <v>47</v>
      </c>
      <c r="E8" s="108">
        <v>33.333333333333336</v>
      </c>
      <c r="F8" s="110" t="s">
        <v>260</v>
      </c>
      <c r="G8" s="105">
        <v>4</v>
      </c>
      <c r="H8" s="109">
        <v>5</v>
      </c>
      <c r="I8" s="106">
        <v>3050000</v>
      </c>
      <c r="J8" s="122">
        <f t="shared" si="0"/>
        <v>650000</v>
      </c>
      <c r="K8" s="131" t="s">
        <v>9</v>
      </c>
      <c r="L8" s="132"/>
      <c r="M8" s="133"/>
      <c r="N8" s="109">
        <v>8</v>
      </c>
      <c r="O8" s="106">
        <f>O15*20%</f>
        <v>2000000</v>
      </c>
      <c r="P8" s="114"/>
      <c r="Q8" s="200"/>
      <c r="R8" s="108">
        <v>48</v>
      </c>
      <c r="S8" s="196">
        <f t="shared" si="2"/>
        <v>32</v>
      </c>
    </row>
    <row r="9" spans="2:19" s="107" customFormat="1" ht="18" customHeight="1">
      <c r="B9" s="100" t="s">
        <v>82</v>
      </c>
      <c r="C9" s="101">
        <v>19.8</v>
      </c>
      <c r="D9" s="108">
        <v>45</v>
      </c>
      <c r="E9" s="103">
        <v>36.666666666666664</v>
      </c>
      <c r="F9" s="104"/>
      <c r="G9" s="105">
        <v>5</v>
      </c>
      <c r="H9" s="109">
        <v>4</v>
      </c>
      <c r="I9" s="106">
        <f t="shared" si="1"/>
        <v>1050000</v>
      </c>
      <c r="J9" s="122">
        <f t="shared" si="0"/>
        <v>50000</v>
      </c>
      <c r="K9" s="131" t="s">
        <v>10</v>
      </c>
      <c r="L9" s="132"/>
      <c r="M9" s="133"/>
      <c r="N9" s="109">
        <v>6</v>
      </c>
      <c r="O9" s="106">
        <f>O15*15%</f>
        <v>1500000</v>
      </c>
      <c r="Q9" s="200"/>
      <c r="R9" s="108">
        <v>57</v>
      </c>
      <c r="S9" s="196">
        <f t="shared" si="2"/>
        <v>38</v>
      </c>
    </row>
    <row r="10" spans="2:19" s="107" customFormat="1" ht="18" customHeight="1">
      <c r="B10" s="100" t="s">
        <v>79</v>
      </c>
      <c r="C10" s="101">
        <v>5.9</v>
      </c>
      <c r="D10" s="105">
        <v>44</v>
      </c>
      <c r="E10" s="103">
        <v>31.333333333333332</v>
      </c>
      <c r="F10" s="110"/>
      <c r="G10" s="116">
        <v>6</v>
      </c>
      <c r="H10" s="109">
        <v>3</v>
      </c>
      <c r="I10" s="106">
        <f t="shared" si="1"/>
        <v>850000</v>
      </c>
      <c r="J10" s="122">
        <f t="shared" si="0"/>
        <v>50000</v>
      </c>
      <c r="K10" s="131" t="s">
        <v>11</v>
      </c>
      <c r="L10" s="132"/>
      <c r="M10" s="133"/>
      <c r="N10" s="109">
        <v>5</v>
      </c>
      <c r="O10" s="106">
        <f>O15*12%</f>
        <v>1200000</v>
      </c>
      <c r="Q10" s="200"/>
      <c r="R10" s="108">
        <v>43</v>
      </c>
      <c r="S10" s="196">
        <f t="shared" si="2"/>
        <v>28.666666666666668</v>
      </c>
    </row>
    <row r="11" spans="2:19" s="107" customFormat="1" ht="18" customHeight="1">
      <c r="B11" s="100" t="s">
        <v>78</v>
      </c>
      <c r="C11" s="101">
        <v>16.1</v>
      </c>
      <c r="D11" s="105">
        <v>44</v>
      </c>
      <c r="E11" s="103">
        <v>31.333333333333332</v>
      </c>
      <c r="F11" s="104"/>
      <c r="G11" s="105">
        <v>7</v>
      </c>
      <c r="H11" s="109">
        <v>2</v>
      </c>
      <c r="I11" s="106">
        <f t="shared" si="1"/>
        <v>650000</v>
      </c>
      <c r="J11" s="122">
        <f t="shared" si="0"/>
        <v>50000</v>
      </c>
      <c r="K11" s="131" t="s">
        <v>12</v>
      </c>
      <c r="L11" s="132"/>
      <c r="M11" s="133"/>
      <c r="N11" s="109">
        <v>4</v>
      </c>
      <c r="O11" s="106">
        <f>O15*10%</f>
        <v>1000000</v>
      </c>
      <c r="Q11" s="200"/>
      <c r="R11" s="103"/>
      <c r="S11" s="196">
        <f t="shared" si="2"/>
        <v>0</v>
      </c>
    </row>
    <row r="12" spans="2:19" s="107" customFormat="1" ht="18" customHeight="1">
      <c r="B12" s="100" t="s">
        <v>67</v>
      </c>
      <c r="C12" s="101">
        <v>16.6</v>
      </c>
      <c r="D12" s="105">
        <v>44</v>
      </c>
      <c r="E12" s="108">
        <v>35.333333333333336</v>
      </c>
      <c r="F12" s="110"/>
      <c r="G12" s="105">
        <v>8</v>
      </c>
      <c r="H12" s="109">
        <v>1</v>
      </c>
      <c r="I12" s="106">
        <f t="shared" si="1"/>
        <v>450000</v>
      </c>
      <c r="J12" s="122">
        <f t="shared" si="0"/>
        <v>50000</v>
      </c>
      <c r="K12" s="131" t="s">
        <v>13</v>
      </c>
      <c r="L12" s="132"/>
      <c r="M12" s="133"/>
      <c r="N12" s="109">
        <v>3</v>
      </c>
      <c r="O12" s="106">
        <f>O15*8%</f>
        <v>800000</v>
      </c>
      <c r="Q12" s="200"/>
      <c r="R12" s="108"/>
      <c r="S12" s="196">
        <f t="shared" si="2"/>
        <v>0</v>
      </c>
    </row>
    <row r="13" spans="2:19" s="107" customFormat="1" ht="18" customHeight="1">
      <c r="B13" s="100" t="s">
        <v>192</v>
      </c>
      <c r="C13" s="101">
        <v>17.1</v>
      </c>
      <c r="D13" s="105">
        <v>44</v>
      </c>
      <c r="E13" s="108">
        <v>33.333333333333336</v>
      </c>
      <c r="F13" s="104"/>
      <c r="G13" s="102"/>
      <c r="H13" s="105"/>
      <c r="I13" s="106">
        <f aca="true" t="shared" si="3" ref="I13:I28">J13</f>
        <v>50000</v>
      </c>
      <c r="J13" s="122">
        <f t="shared" si="0"/>
        <v>50000</v>
      </c>
      <c r="K13" s="131" t="s">
        <v>14</v>
      </c>
      <c r="L13" s="132"/>
      <c r="M13" s="133"/>
      <c r="N13" s="109">
        <v>2</v>
      </c>
      <c r="O13" s="106">
        <f>O15*6%</f>
        <v>600000</v>
      </c>
      <c r="Q13" s="200"/>
      <c r="R13" s="103">
        <v>47</v>
      </c>
      <c r="S13" s="196">
        <f t="shared" si="2"/>
        <v>31.333333333333332</v>
      </c>
    </row>
    <row r="14" spans="2:19" s="107" customFormat="1" ht="18" customHeight="1">
      <c r="B14" s="100" t="s">
        <v>62</v>
      </c>
      <c r="C14" s="101">
        <v>24.2</v>
      </c>
      <c r="D14" s="110">
        <v>44</v>
      </c>
      <c r="E14" s="108">
        <v>40.666666666666664</v>
      </c>
      <c r="F14" s="110"/>
      <c r="G14" s="105"/>
      <c r="H14" s="105"/>
      <c r="I14" s="106">
        <f t="shared" si="3"/>
        <v>50000</v>
      </c>
      <c r="J14" s="122">
        <f t="shared" si="0"/>
        <v>50000</v>
      </c>
      <c r="K14" s="131" t="s">
        <v>15</v>
      </c>
      <c r="L14" s="132"/>
      <c r="M14" s="133"/>
      <c r="N14" s="109">
        <v>1</v>
      </c>
      <c r="O14" s="106">
        <f>O15*4%</f>
        <v>400000</v>
      </c>
      <c r="Q14" s="200"/>
      <c r="R14" s="108">
        <v>53</v>
      </c>
      <c r="S14" s="196">
        <f t="shared" si="2"/>
        <v>35.333333333333336</v>
      </c>
    </row>
    <row r="15" spans="2:19" s="107" customFormat="1" ht="18" customHeight="1">
      <c r="B15" s="100" t="s">
        <v>58</v>
      </c>
      <c r="C15" s="101">
        <v>22.2</v>
      </c>
      <c r="D15" s="105">
        <v>42</v>
      </c>
      <c r="E15" s="108">
        <v>38.666666666666664</v>
      </c>
      <c r="F15" s="104"/>
      <c r="G15" s="105"/>
      <c r="H15" s="105"/>
      <c r="I15" s="106">
        <f t="shared" si="3"/>
        <v>50000</v>
      </c>
      <c r="J15" s="122">
        <f t="shared" si="0"/>
        <v>50000</v>
      </c>
      <c r="K15" s="136" t="s">
        <v>3</v>
      </c>
      <c r="L15" s="132"/>
      <c r="M15" s="133"/>
      <c r="N15" s="109"/>
      <c r="O15" s="119">
        <v>10000000</v>
      </c>
      <c r="Q15" s="200"/>
      <c r="R15" s="108">
        <v>55</v>
      </c>
      <c r="S15" s="196">
        <f t="shared" si="2"/>
        <v>36.666666666666664</v>
      </c>
    </row>
    <row r="16" spans="2:19" s="107" customFormat="1" ht="18" customHeight="1">
      <c r="B16" s="117" t="s">
        <v>84</v>
      </c>
      <c r="C16" s="118">
        <v>33</v>
      </c>
      <c r="D16" s="108">
        <v>42</v>
      </c>
      <c r="E16" s="103">
        <v>40.666666666666664</v>
      </c>
      <c r="F16" s="116"/>
      <c r="G16" s="105"/>
      <c r="H16" s="105"/>
      <c r="I16" s="106">
        <f t="shared" si="3"/>
        <v>50000</v>
      </c>
      <c r="J16" s="122">
        <f t="shared" si="0"/>
        <v>50000</v>
      </c>
      <c r="K16" s="136" t="s">
        <v>128</v>
      </c>
      <c r="L16" s="132"/>
      <c r="M16" s="133"/>
      <c r="N16" s="109">
        <v>1</v>
      </c>
      <c r="O16" s="106">
        <f>O13</f>
        <v>600000</v>
      </c>
      <c r="Q16" s="200"/>
      <c r="R16" s="108">
        <v>50</v>
      </c>
      <c r="S16" s="196">
        <f t="shared" si="2"/>
        <v>33.333333333333336</v>
      </c>
    </row>
    <row r="17" spans="2:19" s="107" customFormat="1" ht="18" customHeight="1">
      <c r="B17" s="100" t="s">
        <v>60</v>
      </c>
      <c r="C17" s="111">
        <v>23.7</v>
      </c>
      <c r="D17" s="108">
        <v>40</v>
      </c>
      <c r="E17" s="108">
        <v>38.666666666666664</v>
      </c>
      <c r="F17" s="104"/>
      <c r="G17" s="110"/>
      <c r="H17" s="110"/>
      <c r="I17" s="106">
        <f t="shared" si="3"/>
        <v>50000</v>
      </c>
      <c r="J17" s="122">
        <f t="shared" si="0"/>
        <v>50000</v>
      </c>
      <c r="Q17" s="200"/>
      <c r="R17" s="108">
        <v>53</v>
      </c>
      <c r="S17" s="196">
        <f t="shared" si="2"/>
        <v>35.333333333333336</v>
      </c>
    </row>
    <row r="18" spans="2:19" s="107" customFormat="1" ht="18" customHeight="1">
      <c r="B18" s="100" t="s">
        <v>80</v>
      </c>
      <c r="C18" s="101">
        <v>19.1</v>
      </c>
      <c r="D18" s="105">
        <v>39</v>
      </c>
      <c r="E18" s="108">
        <v>35.333333333333336</v>
      </c>
      <c r="F18" s="110" t="s">
        <v>261</v>
      </c>
      <c r="G18" s="110"/>
      <c r="H18" s="110"/>
      <c r="I18" s="106">
        <f t="shared" si="3"/>
        <v>650000</v>
      </c>
      <c r="J18" s="122">
        <f t="shared" si="0"/>
        <v>650000</v>
      </c>
      <c r="P18" s="114"/>
      <c r="Q18" s="200"/>
      <c r="R18" s="108"/>
      <c r="S18" s="196">
        <f t="shared" si="2"/>
        <v>0</v>
      </c>
    </row>
    <row r="19" spans="2:19" s="107" customFormat="1" ht="18" customHeight="1">
      <c r="B19" s="100" t="s">
        <v>66</v>
      </c>
      <c r="C19" s="101">
        <v>16.9</v>
      </c>
      <c r="D19" s="105">
        <v>38</v>
      </c>
      <c r="E19" s="108">
        <v>36.666666666666664</v>
      </c>
      <c r="F19" s="104"/>
      <c r="G19" s="105"/>
      <c r="H19" s="105"/>
      <c r="I19" s="106">
        <f t="shared" si="3"/>
        <v>50000</v>
      </c>
      <c r="J19" s="122">
        <f t="shared" si="0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200"/>
      <c r="R19" s="103">
        <v>55</v>
      </c>
      <c r="S19" s="196">
        <f t="shared" si="2"/>
        <v>36.666666666666664</v>
      </c>
    </row>
    <row r="20" spans="2:19" s="107" customFormat="1" ht="18" customHeight="1">
      <c r="B20" s="100" t="s">
        <v>77</v>
      </c>
      <c r="C20" s="101">
        <v>9.6</v>
      </c>
      <c r="D20" s="108">
        <v>36</v>
      </c>
      <c r="E20" s="108">
        <v>38</v>
      </c>
      <c r="F20" s="104"/>
      <c r="G20" s="105"/>
      <c r="H20" s="105"/>
      <c r="I20" s="106">
        <f t="shared" si="3"/>
        <v>50000</v>
      </c>
      <c r="J20" s="122">
        <f t="shared" si="0"/>
        <v>50000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2000000</v>
      </c>
      <c r="P20" s="115"/>
      <c r="Q20" s="200"/>
      <c r="R20" s="108"/>
      <c r="S20" s="196">
        <f t="shared" si="2"/>
        <v>0</v>
      </c>
    </row>
    <row r="21" spans="2:19" s="4" customFormat="1" ht="18" customHeight="1">
      <c r="B21" s="100" t="s">
        <v>69</v>
      </c>
      <c r="C21" s="101">
        <v>26.8</v>
      </c>
      <c r="D21" s="105">
        <v>33</v>
      </c>
      <c r="E21" s="108">
        <v>39.333333333333336</v>
      </c>
      <c r="F21" s="104"/>
      <c r="G21" s="110"/>
      <c r="H21" s="110"/>
      <c r="I21" s="106">
        <f t="shared" si="3"/>
        <v>50000</v>
      </c>
      <c r="J21" s="122">
        <f t="shared" si="0"/>
        <v>50000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1500000</v>
      </c>
      <c r="Q21" s="198"/>
      <c r="R21" s="108">
        <v>49</v>
      </c>
      <c r="S21" s="196">
        <f t="shared" si="2"/>
        <v>32.666666666666664</v>
      </c>
    </row>
    <row r="22" spans="2:19" s="4" customFormat="1" ht="18" customHeight="1">
      <c r="B22" s="100" t="s">
        <v>83</v>
      </c>
      <c r="C22" s="111">
        <v>7.5</v>
      </c>
      <c r="D22" s="102"/>
      <c r="E22" s="108"/>
      <c r="F22" s="104"/>
      <c r="G22" s="110"/>
      <c r="H22" s="110"/>
      <c r="I22" s="106">
        <f t="shared" si="3"/>
        <v>0</v>
      </c>
      <c r="J22" s="122">
        <f t="shared" si="0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1000000</v>
      </c>
      <c r="Q22" s="198"/>
      <c r="R22" s="103">
        <v>58</v>
      </c>
      <c r="S22" s="196">
        <f t="shared" si="2"/>
        <v>38.666666666666664</v>
      </c>
    </row>
    <row r="23" spans="2:19" s="4" customFormat="1" ht="18" customHeight="1">
      <c r="B23" s="117" t="s">
        <v>65</v>
      </c>
      <c r="C23" s="118">
        <v>11.2</v>
      </c>
      <c r="D23" s="108"/>
      <c r="E23" s="103"/>
      <c r="F23" s="110"/>
      <c r="G23" s="110"/>
      <c r="H23" s="110"/>
      <c r="I23" s="106">
        <f t="shared" si="3"/>
        <v>0</v>
      </c>
      <c r="J23" s="122">
        <f t="shared" si="0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500000</v>
      </c>
      <c r="Q23" s="198"/>
      <c r="R23" s="103"/>
      <c r="S23" s="196">
        <f t="shared" si="2"/>
        <v>0</v>
      </c>
    </row>
    <row r="24" spans="2:19" s="4" customFormat="1" ht="18" customHeight="1">
      <c r="B24" s="100" t="s">
        <v>64</v>
      </c>
      <c r="C24" s="101">
        <v>14.2</v>
      </c>
      <c r="D24" s="105"/>
      <c r="E24" s="108"/>
      <c r="F24" s="104"/>
      <c r="G24" s="110"/>
      <c r="H24" s="110"/>
      <c r="I24" s="106">
        <f t="shared" si="3"/>
        <v>0</v>
      </c>
      <c r="J24" s="122">
        <f t="shared" si="0"/>
        <v>0</v>
      </c>
      <c r="M24" s="120"/>
      <c r="N24" s="121"/>
      <c r="O24" s="121"/>
      <c r="Q24" s="198"/>
      <c r="R24" s="103">
        <v>58</v>
      </c>
      <c r="S24" s="196">
        <f t="shared" si="2"/>
        <v>38.666666666666664</v>
      </c>
    </row>
    <row r="25" spans="2:19" s="4" customFormat="1" ht="18" customHeight="1">
      <c r="B25" s="100" t="s">
        <v>70</v>
      </c>
      <c r="C25" s="101">
        <v>19.6</v>
      </c>
      <c r="D25" s="105"/>
      <c r="E25" s="108"/>
      <c r="F25" s="104"/>
      <c r="G25" s="110"/>
      <c r="H25" s="110"/>
      <c r="I25" s="106">
        <f t="shared" si="3"/>
        <v>0</v>
      </c>
      <c r="J25" s="122">
        <f t="shared" si="0"/>
        <v>0</v>
      </c>
      <c r="M25" s="120"/>
      <c r="N25" s="121"/>
      <c r="O25" s="121"/>
      <c r="Q25" s="198"/>
      <c r="R25" s="108">
        <v>61</v>
      </c>
      <c r="S25" s="196">
        <f t="shared" si="2"/>
        <v>40.666666666666664</v>
      </c>
    </row>
    <row r="26" spans="2:19" s="4" customFormat="1" ht="18" customHeight="1">
      <c r="B26" s="100" t="s">
        <v>68</v>
      </c>
      <c r="C26" s="101">
        <v>19.9</v>
      </c>
      <c r="D26" s="108"/>
      <c r="E26" s="108"/>
      <c r="F26" s="104"/>
      <c r="G26" s="110"/>
      <c r="H26" s="110"/>
      <c r="I26" s="106">
        <f t="shared" si="3"/>
        <v>0</v>
      </c>
      <c r="J26" s="122">
        <f t="shared" si="0"/>
        <v>0</v>
      </c>
      <c r="K26" s="110" t="s">
        <v>19</v>
      </c>
      <c r="L26" s="110" t="s">
        <v>5</v>
      </c>
      <c r="M26" s="110"/>
      <c r="N26" s="106" t="s">
        <v>17</v>
      </c>
      <c r="O26" s="106"/>
      <c r="Q26" s="198"/>
      <c r="R26" s="103">
        <v>59</v>
      </c>
      <c r="S26" s="196">
        <f t="shared" si="2"/>
        <v>39.333333333333336</v>
      </c>
    </row>
    <row r="27" spans="2:19" s="4" customFormat="1" ht="18" customHeight="1">
      <c r="B27" s="100" t="s">
        <v>63</v>
      </c>
      <c r="C27" s="111">
        <v>23.6</v>
      </c>
      <c r="D27" s="112"/>
      <c r="E27" s="108"/>
      <c r="F27" s="110"/>
      <c r="G27" s="105"/>
      <c r="H27" s="105"/>
      <c r="I27" s="106">
        <f t="shared" si="3"/>
        <v>0</v>
      </c>
      <c r="J27" s="122">
        <f t="shared" si="0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1675000</v>
      </c>
      <c r="Q27" s="198"/>
      <c r="R27" s="112"/>
      <c r="S27" s="196">
        <f t="shared" si="2"/>
        <v>0</v>
      </c>
    </row>
    <row r="28" spans="2:19" s="4" customFormat="1" ht="18" customHeight="1">
      <c r="B28" s="100" t="s">
        <v>81</v>
      </c>
      <c r="C28" s="101">
        <v>30</v>
      </c>
      <c r="D28" s="105"/>
      <c r="E28" s="108"/>
      <c r="F28" s="110"/>
      <c r="G28" s="105"/>
      <c r="H28" s="105"/>
      <c r="I28" s="106">
        <f t="shared" si="3"/>
        <v>0</v>
      </c>
      <c r="J28" s="122">
        <f t="shared" si="0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825000</v>
      </c>
      <c r="Q28" s="198"/>
      <c r="R28" s="103">
        <v>61</v>
      </c>
      <c r="S28" s="196">
        <f t="shared" si="2"/>
        <v>40.666666666666664</v>
      </c>
    </row>
    <row r="29" spans="2:19" ht="24" customHeight="1" thickBot="1">
      <c r="B29" s="1"/>
      <c r="C29" s="2"/>
      <c r="D29" s="3"/>
      <c r="E29" s="3"/>
      <c r="F29" s="3"/>
      <c r="G29" s="2"/>
      <c r="H29" s="2"/>
      <c r="I29" s="82">
        <f>SUM(I5:I28)</f>
        <v>15050000</v>
      </c>
      <c r="J29" s="123"/>
      <c r="Q29" s="205"/>
      <c r="R29" s="205"/>
      <c r="S29" s="205"/>
    </row>
    <row r="30" spans="2:10" ht="24" customHeight="1" thickTop="1">
      <c r="B30" s="1"/>
      <c r="C30" s="2"/>
      <c r="D30" s="3"/>
      <c r="E30" s="3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workbookViewId="0" topLeftCell="B1">
      <selection activeCell="G18" sqref="G18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11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68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243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9" s="4" customFormat="1" ht="29.25" customHeight="1">
      <c r="C3" s="250" t="s">
        <v>246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Q3" s="198"/>
      <c r="R3" s="198"/>
      <c r="S3" s="198"/>
    </row>
    <row r="4" spans="2:19" s="7" customFormat="1" ht="27" customHeight="1">
      <c r="B4" s="5" t="s">
        <v>0</v>
      </c>
      <c r="C4" s="6" t="s">
        <v>1</v>
      </c>
      <c r="D4" s="6" t="s">
        <v>7</v>
      </c>
      <c r="E4" s="169" t="s">
        <v>227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  <c r="Q4" s="199"/>
      <c r="R4" s="7" t="s">
        <v>2</v>
      </c>
      <c r="S4" s="7" t="s">
        <v>215</v>
      </c>
    </row>
    <row r="5" spans="2:19" s="107" customFormat="1" ht="18" customHeight="1">
      <c r="B5" s="117" t="s">
        <v>30</v>
      </c>
      <c r="C5" s="118">
        <v>10</v>
      </c>
      <c r="D5" s="105">
        <v>25</v>
      </c>
      <c r="E5" s="108">
        <v>31.5</v>
      </c>
      <c r="F5" s="110"/>
      <c r="G5" s="105">
        <v>1</v>
      </c>
      <c r="H5" s="113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200"/>
      <c r="R5" s="103">
        <v>18</v>
      </c>
      <c r="S5" s="196">
        <f>R5*18/12</f>
        <v>27</v>
      </c>
    </row>
    <row r="6" spans="2:19" s="107" customFormat="1" ht="18" customHeight="1">
      <c r="B6" s="100" t="s">
        <v>60</v>
      </c>
      <c r="C6" s="111">
        <v>23.7</v>
      </c>
      <c r="D6" s="108">
        <v>25</v>
      </c>
      <c r="E6" s="108">
        <v>33</v>
      </c>
      <c r="F6" s="104"/>
      <c r="G6" s="105">
        <v>2</v>
      </c>
      <c r="H6" s="109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200"/>
      <c r="R6" s="108"/>
      <c r="S6" s="196">
        <f aca="true" t="shared" si="2" ref="S6:S28">R6*18/12</f>
        <v>0</v>
      </c>
    </row>
    <row r="7" spans="2:19" s="107" customFormat="1" ht="18" customHeight="1">
      <c r="B7" s="100" t="s">
        <v>29</v>
      </c>
      <c r="C7" s="111">
        <v>7.8</v>
      </c>
      <c r="D7" s="105">
        <v>20</v>
      </c>
      <c r="E7" s="108">
        <v>33</v>
      </c>
      <c r="F7" s="110">
        <v>8.03</v>
      </c>
      <c r="G7" s="110">
        <v>3</v>
      </c>
      <c r="H7" s="109">
        <v>6</v>
      </c>
      <c r="I7" s="106">
        <f t="shared" si="0"/>
        <v>1100000</v>
      </c>
      <c r="J7" s="122">
        <f t="shared" si="1"/>
        <v>350000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200"/>
      <c r="R7" s="108">
        <v>22</v>
      </c>
      <c r="S7" s="196">
        <f t="shared" si="2"/>
        <v>33</v>
      </c>
    </row>
    <row r="8" spans="2:19" s="107" customFormat="1" ht="18" customHeight="1">
      <c r="B8" s="100" t="s">
        <v>61</v>
      </c>
      <c r="C8" s="101">
        <v>8.7</v>
      </c>
      <c r="D8" s="105">
        <v>20</v>
      </c>
      <c r="E8" s="108">
        <v>27</v>
      </c>
      <c r="F8" s="104"/>
      <c r="G8" s="105">
        <v>4</v>
      </c>
      <c r="H8" s="109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200"/>
      <c r="R8" s="108">
        <v>18</v>
      </c>
      <c r="S8" s="196">
        <f t="shared" si="2"/>
        <v>27</v>
      </c>
    </row>
    <row r="9" spans="2:19" s="107" customFormat="1" ht="18" customHeight="1">
      <c r="B9" s="100" t="s">
        <v>192</v>
      </c>
      <c r="C9" s="101">
        <v>17.1</v>
      </c>
      <c r="D9" s="105">
        <v>20</v>
      </c>
      <c r="E9" s="108">
        <v>39</v>
      </c>
      <c r="F9" s="104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200"/>
      <c r="R9" s="108"/>
      <c r="S9" s="196">
        <f t="shared" si="2"/>
        <v>0</v>
      </c>
    </row>
    <row r="10" spans="2:19" s="107" customFormat="1" ht="18" customHeight="1">
      <c r="B10" s="100" t="s">
        <v>58</v>
      </c>
      <c r="C10" s="101">
        <v>22.2</v>
      </c>
      <c r="D10" s="105">
        <v>19</v>
      </c>
      <c r="E10" s="108">
        <v>37.5</v>
      </c>
      <c r="F10" s="104"/>
      <c r="G10" s="116">
        <v>6</v>
      </c>
      <c r="H10" s="109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200"/>
      <c r="R10" s="108">
        <v>21</v>
      </c>
      <c r="S10" s="196">
        <f t="shared" si="2"/>
        <v>31.5</v>
      </c>
    </row>
    <row r="11" spans="2:19" s="107" customFormat="1" ht="18" customHeight="1">
      <c r="B11" s="100" t="s">
        <v>64</v>
      </c>
      <c r="C11" s="101">
        <v>14.2</v>
      </c>
      <c r="D11" s="105">
        <v>18</v>
      </c>
      <c r="E11" s="108">
        <v>36</v>
      </c>
      <c r="F11" s="110"/>
      <c r="G11" s="105">
        <v>7</v>
      </c>
      <c r="H11" s="109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200"/>
      <c r="R11" s="103"/>
      <c r="S11" s="196">
        <f t="shared" si="2"/>
        <v>0</v>
      </c>
    </row>
    <row r="12" spans="2:19" s="107" customFormat="1" ht="18" customHeight="1">
      <c r="B12" s="100" t="s">
        <v>78</v>
      </c>
      <c r="C12" s="101">
        <v>16.2</v>
      </c>
      <c r="D12" s="105">
        <v>18</v>
      </c>
      <c r="E12" s="103">
        <v>34.5</v>
      </c>
      <c r="F12" s="104"/>
      <c r="G12" s="105">
        <v>8</v>
      </c>
      <c r="H12" s="109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200"/>
      <c r="R12" s="108">
        <v>24</v>
      </c>
      <c r="S12" s="196">
        <f t="shared" si="2"/>
        <v>36</v>
      </c>
    </row>
    <row r="13" spans="2:19" s="107" customFormat="1" ht="18" customHeight="1">
      <c r="B13" s="100" t="s">
        <v>82</v>
      </c>
      <c r="C13" s="101">
        <v>19.8</v>
      </c>
      <c r="D13" s="108">
        <v>18</v>
      </c>
      <c r="E13" s="103">
        <v>36</v>
      </c>
      <c r="F13" s="104"/>
      <c r="G13" s="102"/>
      <c r="H13" s="105"/>
      <c r="I13" s="106">
        <f aca="true" t="shared" si="3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200"/>
      <c r="R13" s="103">
        <v>23</v>
      </c>
      <c r="S13" s="196">
        <f t="shared" si="2"/>
        <v>34.5</v>
      </c>
    </row>
    <row r="14" spans="2:19" s="107" customFormat="1" ht="18" customHeight="1">
      <c r="B14" s="100" t="s">
        <v>79</v>
      </c>
      <c r="C14" s="101">
        <v>5.9</v>
      </c>
      <c r="D14" s="105">
        <v>17</v>
      </c>
      <c r="E14" s="103">
        <v>27</v>
      </c>
      <c r="F14" s="110"/>
      <c r="G14" s="105"/>
      <c r="H14" s="105"/>
      <c r="I14" s="106">
        <f t="shared" si="3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200"/>
      <c r="R14" s="108">
        <v>23</v>
      </c>
      <c r="S14" s="196">
        <f t="shared" si="2"/>
        <v>34.5</v>
      </c>
    </row>
    <row r="15" spans="2:19" s="107" customFormat="1" ht="18" customHeight="1">
      <c r="B15" s="100" t="s">
        <v>67</v>
      </c>
      <c r="C15" s="101">
        <v>16.6</v>
      </c>
      <c r="D15" s="105">
        <v>17</v>
      </c>
      <c r="E15" s="108">
        <v>34.5</v>
      </c>
      <c r="F15" s="104"/>
      <c r="G15" s="105"/>
      <c r="H15" s="105"/>
      <c r="I15" s="106">
        <f t="shared" si="3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200"/>
      <c r="R15" s="108">
        <v>27</v>
      </c>
      <c r="S15" s="196">
        <f t="shared" si="2"/>
        <v>40.5</v>
      </c>
    </row>
    <row r="16" spans="2:19" s="107" customFormat="1" ht="18" customHeight="1">
      <c r="B16" s="100" t="s">
        <v>66</v>
      </c>
      <c r="C16" s="101">
        <v>16.9</v>
      </c>
      <c r="D16" s="105">
        <v>16</v>
      </c>
      <c r="E16" s="108">
        <v>40.5</v>
      </c>
      <c r="F16" s="104"/>
      <c r="G16" s="105"/>
      <c r="H16" s="105"/>
      <c r="I16" s="106">
        <f t="shared" si="3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200"/>
      <c r="R16" s="108">
        <v>26</v>
      </c>
      <c r="S16" s="196">
        <f t="shared" si="2"/>
        <v>39</v>
      </c>
    </row>
    <row r="17" spans="2:19" s="107" customFormat="1" ht="18" customHeight="1">
      <c r="B17" s="100" t="s">
        <v>59</v>
      </c>
      <c r="C17" s="101">
        <v>21.4</v>
      </c>
      <c r="D17" s="110">
        <v>14</v>
      </c>
      <c r="E17" s="108">
        <v>48</v>
      </c>
      <c r="F17" s="110"/>
      <c r="G17" s="110"/>
      <c r="H17" s="110"/>
      <c r="I17" s="106">
        <f t="shared" si="3"/>
        <v>50000</v>
      </c>
      <c r="J17" s="122">
        <f t="shared" si="1"/>
        <v>50000</v>
      </c>
      <c r="Q17" s="200"/>
      <c r="R17" s="108">
        <v>26</v>
      </c>
      <c r="S17" s="196">
        <f t="shared" si="2"/>
        <v>39</v>
      </c>
    </row>
    <row r="18" spans="2:19" s="107" customFormat="1" ht="18" customHeight="1">
      <c r="B18" s="100" t="s">
        <v>80</v>
      </c>
      <c r="C18" s="101">
        <v>19.1</v>
      </c>
      <c r="D18" s="105">
        <v>12</v>
      </c>
      <c r="E18" s="108">
        <v>39</v>
      </c>
      <c r="F18" s="104"/>
      <c r="G18" s="110"/>
      <c r="H18" s="110"/>
      <c r="I18" s="106">
        <f t="shared" si="3"/>
        <v>50000</v>
      </c>
      <c r="J18" s="122">
        <f t="shared" si="1"/>
        <v>50000</v>
      </c>
      <c r="P18" s="114"/>
      <c r="Q18" s="200"/>
      <c r="R18" s="108"/>
      <c r="S18" s="196">
        <f t="shared" si="2"/>
        <v>0</v>
      </c>
    </row>
    <row r="19" spans="2:19" s="107" customFormat="1" ht="18" customHeight="1">
      <c r="B19" s="100" t="s">
        <v>83</v>
      </c>
      <c r="C19" s="111">
        <v>7.5</v>
      </c>
      <c r="D19" s="102"/>
      <c r="E19" s="108"/>
      <c r="F19" s="104"/>
      <c r="G19" s="105"/>
      <c r="H19" s="105"/>
      <c r="I19" s="106">
        <f t="shared" si="3"/>
        <v>0</v>
      </c>
      <c r="J19" s="122">
        <f t="shared" si="1"/>
        <v>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200"/>
      <c r="R19" s="103">
        <v>24</v>
      </c>
      <c r="S19" s="196">
        <f t="shared" si="2"/>
        <v>36</v>
      </c>
    </row>
    <row r="20" spans="2:19" s="107" customFormat="1" ht="18" customHeight="1">
      <c r="B20" s="100" t="s">
        <v>77</v>
      </c>
      <c r="C20" s="101">
        <v>9.6</v>
      </c>
      <c r="D20" s="108"/>
      <c r="E20" s="108"/>
      <c r="F20" s="104"/>
      <c r="G20" s="105"/>
      <c r="H20" s="105"/>
      <c r="I20" s="106">
        <f t="shared" si="3"/>
        <v>0</v>
      </c>
      <c r="J20" s="122">
        <f t="shared" si="1"/>
        <v>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200"/>
      <c r="R20" s="108"/>
      <c r="S20" s="196">
        <f t="shared" si="2"/>
        <v>0</v>
      </c>
    </row>
    <row r="21" spans="2:19" s="4" customFormat="1" ht="18" customHeight="1">
      <c r="B21" s="117" t="s">
        <v>65</v>
      </c>
      <c r="C21" s="118">
        <v>11.2</v>
      </c>
      <c r="D21" s="108"/>
      <c r="E21" s="103"/>
      <c r="F21" s="104"/>
      <c r="G21" s="110"/>
      <c r="H21" s="110"/>
      <c r="I21" s="106">
        <f t="shared" si="3"/>
        <v>0</v>
      </c>
      <c r="J21" s="122">
        <f t="shared" si="1"/>
        <v>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  <c r="Q21" s="198"/>
      <c r="R21" s="108">
        <v>32</v>
      </c>
      <c r="S21" s="196">
        <f t="shared" si="2"/>
        <v>48</v>
      </c>
    </row>
    <row r="22" spans="2:19" s="4" customFormat="1" ht="18" customHeight="1">
      <c r="B22" s="100" t="s">
        <v>70</v>
      </c>
      <c r="C22" s="101">
        <v>19.6</v>
      </c>
      <c r="D22" s="105"/>
      <c r="E22" s="108"/>
      <c r="F22" s="104"/>
      <c r="G22" s="110"/>
      <c r="H22" s="110"/>
      <c r="I22" s="106">
        <f t="shared" si="3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  <c r="Q22" s="198"/>
      <c r="R22" s="103">
        <v>25</v>
      </c>
      <c r="S22" s="196">
        <f t="shared" si="2"/>
        <v>37.5</v>
      </c>
    </row>
    <row r="23" spans="2:19" s="4" customFormat="1" ht="18" customHeight="1">
      <c r="B23" s="100" t="s">
        <v>68</v>
      </c>
      <c r="C23" s="101">
        <v>19.9</v>
      </c>
      <c r="D23" s="108"/>
      <c r="E23" s="108"/>
      <c r="F23" s="110"/>
      <c r="G23" s="110"/>
      <c r="H23" s="110"/>
      <c r="I23" s="106">
        <f t="shared" si="3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  <c r="Q23" s="198"/>
      <c r="R23" s="103"/>
      <c r="S23" s="196">
        <f t="shared" si="2"/>
        <v>0</v>
      </c>
    </row>
    <row r="24" spans="2:19" s="4" customFormat="1" ht="18" customHeight="1">
      <c r="B24" s="100" t="s">
        <v>63</v>
      </c>
      <c r="C24" s="111">
        <v>23.6</v>
      </c>
      <c r="D24" s="112"/>
      <c r="E24" s="108"/>
      <c r="F24" s="104"/>
      <c r="G24" s="110"/>
      <c r="H24" s="110"/>
      <c r="I24" s="106">
        <f t="shared" si="3"/>
        <v>0</v>
      </c>
      <c r="J24" s="122">
        <f t="shared" si="1"/>
        <v>0</v>
      </c>
      <c r="M24" s="120"/>
      <c r="N24" s="121"/>
      <c r="O24" s="121"/>
      <c r="Q24" s="198"/>
      <c r="R24" s="103">
        <v>22</v>
      </c>
      <c r="S24" s="196">
        <f t="shared" si="2"/>
        <v>33</v>
      </c>
    </row>
    <row r="25" spans="2:19" s="4" customFormat="1" ht="18" customHeight="1">
      <c r="B25" s="100" t="s">
        <v>62</v>
      </c>
      <c r="C25" s="101">
        <v>24.2</v>
      </c>
      <c r="D25" s="110"/>
      <c r="E25" s="108"/>
      <c r="F25" s="110"/>
      <c r="G25" s="110"/>
      <c r="H25" s="110"/>
      <c r="I25" s="106">
        <f t="shared" si="3"/>
        <v>0</v>
      </c>
      <c r="J25" s="122">
        <f t="shared" si="1"/>
        <v>0</v>
      </c>
      <c r="M25" s="120"/>
      <c r="N25" s="121"/>
      <c r="O25" s="121"/>
      <c r="Q25" s="198"/>
      <c r="R25" s="108"/>
      <c r="S25" s="196">
        <f t="shared" si="2"/>
        <v>0</v>
      </c>
    </row>
    <row r="26" spans="2:19" s="4" customFormat="1" ht="18" customHeight="1">
      <c r="B26" s="100" t="s">
        <v>69</v>
      </c>
      <c r="C26" s="101">
        <v>26.8</v>
      </c>
      <c r="D26" s="105"/>
      <c r="E26" s="108"/>
      <c r="F26" s="104"/>
      <c r="G26" s="110"/>
      <c r="H26" s="110"/>
      <c r="I26" s="106">
        <f t="shared" si="3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  <c r="Q26" s="198"/>
      <c r="R26" s="103"/>
      <c r="S26" s="196">
        <f t="shared" si="2"/>
        <v>0</v>
      </c>
    </row>
    <row r="27" spans="2:19" s="4" customFormat="1" ht="18" customHeight="1">
      <c r="B27" s="100" t="s">
        <v>81</v>
      </c>
      <c r="C27" s="101">
        <v>30</v>
      </c>
      <c r="D27" s="105"/>
      <c r="E27" s="108"/>
      <c r="F27" s="110"/>
      <c r="G27" s="105"/>
      <c r="H27" s="105"/>
      <c r="I27" s="106">
        <f t="shared" si="3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  <c r="Q27" s="198"/>
      <c r="R27" s="112"/>
      <c r="S27" s="196">
        <f t="shared" si="2"/>
        <v>0</v>
      </c>
    </row>
    <row r="28" spans="2:19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3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  <c r="Q28" s="198"/>
      <c r="R28" s="103"/>
      <c r="S28" s="196">
        <f t="shared" si="2"/>
        <v>0</v>
      </c>
    </row>
    <row r="29" spans="2:19" ht="24" customHeight="1" thickBot="1">
      <c r="B29" s="1"/>
      <c r="C29" s="2"/>
      <c r="D29" s="3"/>
      <c r="E29" s="3"/>
      <c r="F29" s="3"/>
      <c r="G29" s="2"/>
      <c r="H29" s="2"/>
      <c r="I29" s="82">
        <f>SUM(I5:I28)</f>
        <v>6000000</v>
      </c>
      <c r="J29" s="123"/>
      <c r="Q29" s="205"/>
      <c r="R29" s="205"/>
      <c r="S29" s="205"/>
    </row>
    <row r="30" spans="2:10" ht="24" customHeight="1" thickTop="1">
      <c r="B30" s="1"/>
      <c r="C30" s="2"/>
      <c r="D30" s="3"/>
      <c r="E30" s="3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30"/>
  <sheetViews>
    <sheetView zoomScale="75" zoomScaleNormal="75" workbookViewId="0" topLeftCell="B1">
      <selection activeCell="C4" sqref="C4:F4"/>
    </sheetView>
  </sheetViews>
  <sheetFormatPr defaultColWidth="9.140625" defaultRowHeight="12.75"/>
  <cols>
    <col min="1" max="1" width="5.8515625" style="8" customWidth="1"/>
    <col min="2" max="2" width="23.7109375" style="10" customWidth="1"/>
    <col min="3" max="3" width="7.8515625" style="9" customWidth="1"/>
    <col min="4" max="4" width="8.421875" style="11" customWidth="1"/>
    <col min="5" max="5" width="6.8515625" style="11" customWidth="1"/>
    <col min="6" max="6" width="8.140625" style="9" customWidth="1"/>
    <col min="7" max="7" width="10.140625" style="9" customWidth="1"/>
    <col min="8" max="8" width="9.140625" style="9" customWidth="1"/>
    <col min="9" max="9" width="13.57421875" style="9" customWidth="1"/>
    <col min="10" max="10" width="4.8515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12.421875" style="8" customWidth="1"/>
    <col min="16" max="16" width="7.57421875" style="8" customWidth="1"/>
    <col min="17" max="16384" width="9.140625" style="8" customWidth="1"/>
  </cols>
  <sheetData>
    <row r="1" spans="3:15" s="4" customFormat="1" ht="33" customHeight="1">
      <c r="C1" s="134"/>
      <c r="D1" s="134"/>
      <c r="E1" s="168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3:15" s="4" customFormat="1" ht="33" customHeight="1">
      <c r="C2" s="249" t="s">
        <v>239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3:19" s="4" customFormat="1" ht="29.25" customHeight="1">
      <c r="C3" s="250" t="s">
        <v>238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Q3" s="198"/>
      <c r="R3" s="198"/>
      <c r="S3" s="198"/>
    </row>
    <row r="4" spans="2:19" s="7" customFormat="1" ht="27" customHeight="1">
      <c r="B4" s="5" t="s">
        <v>0</v>
      </c>
      <c r="C4" s="6" t="s">
        <v>1</v>
      </c>
      <c r="D4" s="6" t="s">
        <v>7</v>
      </c>
      <c r="E4" s="169" t="s">
        <v>227</v>
      </c>
      <c r="F4" s="6" t="s">
        <v>73</v>
      </c>
      <c r="G4" s="94" t="s">
        <v>6</v>
      </c>
      <c r="H4" s="95" t="s">
        <v>5</v>
      </c>
      <c r="I4" s="97" t="s">
        <v>72</v>
      </c>
      <c r="J4" s="98"/>
      <c r="K4" s="99"/>
      <c r="L4" s="96"/>
      <c r="M4" s="97"/>
      <c r="N4" s="96"/>
      <c r="O4" s="97"/>
      <c r="Q4" s="199"/>
      <c r="R4" s="7" t="s">
        <v>2</v>
      </c>
      <c r="S4" s="7" t="s">
        <v>215</v>
      </c>
    </row>
    <row r="5" spans="2:19" s="107" customFormat="1" ht="18" customHeight="1">
      <c r="B5" s="100" t="s">
        <v>60</v>
      </c>
      <c r="C5" s="111">
        <v>23.7</v>
      </c>
      <c r="D5" s="105">
        <v>33</v>
      </c>
      <c r="E5" s="103">
        <v>23.53846153846154</v>
      </c>
      <c r="F5" s="110"/>
      <c r="G5" s="105">
        <v>1</v>
      </c>
      <c r="H5" s="113">
        <v>10</v>
      </c>
      <c r="I5" s="106">
        <f aca="true" t="shared" si="0" ref="I5:I12">O7+J5</f>
        <v>1300000</v>
      </c>
      <c r="J5" s="122">
        <f aca="true" t="shared" si="1" ref="J5:J28">IF(F5&gt;0,$O$16,0)+IF(D5,50000,0)</f>
        <v>50000</v>
      </c>
      <c r="K5" s="125"/>
      <c r="L5" s="125"/>
      <c r="M5" s="125"/>
      <c r="Q5" s="200"/>
      <c r="R5" s="103">
        <v>17</v>
      </c>
      <c r="S5" s="196">
        <f>R5*18/13</f>
        <v>23.53846153846154</v>
      </c>
    </row>
    <row r="6" spans="2:19" s="107" customFormat="1" ht="18" customHeight="1">
      <c r="B6" s="100" t="s">
        <v>59</v>
      </c>
      <c r="C6" s="101">
        <v>21.4</v>
      </c>
      <c r="D6" s="102">
        <v>29</v>
      </c>
      <c r="E6" s="108">
        <v>26.307692307692307</v>
      </c>
      <c r="F6" s="104"/>
      <c r="G6" s="105">
        <v>2</v>
      </c>
      <c r="H6" s="109">
        <v>8</v>
      </c>
      <c r="I6" s="106">
        <f t="shared" si="0"/>
        <v>1050000</v>
      </c>
      <c r="J6" s="122">
        <f t="shared" si="1"/>
        <v>50000</v>
      </c>
      <c r="K6" s="126" t="s">
        <v>6</v>
      </c>
      <c r="L6" s="127"/>
      <c r="M6" s="113"/>
      <c r="N6" s="109" t="s">
        <v>5</v>
      </c>
      <c r="O6" s="110" t="s">
        <v>4</v>
      </c>
      <c r="Q6" s="200"/>
      <c r="R6" s="108">
        <v>19</v>
      </c>
      <c r="S6" s="196">
        <f aca="true" t="shared" si="2" ref="S6:S28">R6*18/13</f>
        <v>26.307692307692307</v>
      </c>
    </row>
    <row r="7" spans="2:19" s="107" customFormat="1" ht="18" customHeight="1">
      <c r="B7" s="117" t="s">
        <v>30</v>
      </c>
      <c r="C7" s="118">
        <v>10</v>
      </c>
      <c r="D7" s="105">
        <v>27</v>
      </c>
      <c r="E7" s="108">
        <v>34.61538461538461</v>
      </c>
      <c r="F7" s="110">
        <v>6.33</v>
      </c>
      <c r="G7" s="110">
        <v>3</v>
      </c>
      <c r="H7" s="109">
        <v>6</v>
      </c>
      <c r="I7" s="106">
        <f t="shared" si="0"/>
        <v>1100000</v>
      </c>
      <c r="J7" s="122">
        <f t="shared" si="1"/>
        <v>350000</v>
      </c>
      <c r="K7" s="128" t="s">
        <v>8</v>
      </c>
      <c r="L7" s="129"/>
      <c r="M7" s="130"/>
      <c r="N7" s="113">
        <v>10</v>
      </c>
      <c r="O7" s="106">
        <f>O15*25%</f>
        <v>1250000</v>
      </c>
      <c r="Q7" s="200"/>
      <c r="R7" s="108">
        <v>25</v>
      </c>
      <c r="S7" s="196">
        <f t="shared" si="2"/>
        <v>34.61538461538461</v>
      </c>
    </row>
    <row r="8" spans="2:19" s="107" customFormat="1" ht="18" customHeight="1">
      <c r="B8" s="100" t="s">
        <v>70</v>
      </c>
      <c r="C8" s="101">
        <v>19.6</v>
      </c>
      <c r="D8" s="105">
        <v>26</v>
      </c>
      <c r="E8" s="108">
        <v>33.23076923076923</v>
      </c>
      <c r="F8" s="104"/>
      <c r="G8" s="105">
        <v>4</v>
      </c>
      <c r="H8" s="109">
        <v>5</v>
      </c>
      <c r="I8" s="106">
        <f t="shared" si="0"/>
        <v>650000</v>
      </c>
      <c r="J8" s="122">
        <f t="shared" si="1"/>
        <v>50000</v>
      </c>
      <c r="K8" s="131" t="s">
        <v>9</v>
      </c>
      <c r="L8" s="132"/>
      <c r="M8" s="133"/>
      <c r="N8" s="109">
        <v>8</v>
      </c>
      <c r="O8" s="106">
        <f>O15*20%</f>
        <v>1000000</v>
      </c>
      <c r="P8" s="114"/>
      <c r="Q8" s="200"/>
      <c r="R8" s="108">
        <v>24</v>
      </c>
      <c r="S8" s="196">
        <f t="shared" si="2"/>
        <v>33.23076923076923</v>
      </c>
    </row>
    <row r="9" spans="2:19" s="107" customFormat="1" ht="18" customHeight="1">
      <c r="B9" s="100" t="s">
        <v>29</v>
      </c>
      <c r="C9" s="111">
        <v>7.8</v>
      </c>
      <c r="D9" s="108">
        <v>24</v>
      </c>
      <c r="E9" s="108">
        <v>24.923076923076923</v>
      </c>
      <c r="F9" s="104"/>
      <c r="G9" s="105">
        <v>5</v>
      </c>
      <c r="H9" s="109">
        <v>4</v>
      </c>
      <c r="I9" s="106">
        <f t="shared" si="0"/>
        <v>550000</v>
      </c>
      <c r="J9" s="122">
        <f t="shared" si="1"/>
        <v>50000</v>
      </c>
      <c r="K9" s="131" t="s">
        <v>10</v>
      </c>
      <c r="L9" s="132"/>
      <c r="M9" s="133"/>
      <c r="N9" s="109">
        <v>6</v>
      </c>
      <c r="O9" s="106">
        <f>O15*15%</f>
        <v>750000</v>
      </c>
      <c r="Q9" s="200"/>
      <c r="R9" s="108">
        <v>18</v>
      </c>
      <c r="S9" s="196">
        <f t="shared" si="2"/>
        <v>24.923076923076923</v>
      </c>
    </row>
    <row r="10" spans="2:19" s="107" customFormat="1" ht="18" customHeight="1">
      <c r="B10" s="100" t="s">
        <v>61</v>
      </c>
      <c r="C10" s="101">
        <v>8.7</v>
      </c>
      <c r="D10" s="105">
        <v>24</v>
      </c>
      <c r="E10" s="108">
        <v>33.23076923076923</v>
      </c>
      <c r="F10" s="104"/>
      <c r="G10" s="116">
        <v>6</v>
      </c>
      <c r="H10" s="109">
        <v>3</v>
      </c>
      <c r="I10" s="106">
        <f t="shared" si="0"/>
        <v>450000</v>
      </c>
      <c r="J10" s="122">
        <f t="shared" si="1"/>
        <v>50000</v>
      </c>
      <c r="K10" s="131" t="s">
        <v>11</v>
      </c>
      <c r="L10" s="132"/>
      <c r="M10" s="133"/>
      <c r="N10" s="109">
        <v>5</v>
      </c>
      <c r="O10" s="106">
        <f>O15*12%</f>
        <v>600000</v>
      </c>
      <c r="Q10" s="200"/>
      <c r="R10" s="108">
        <v>24</v>
      </c>
      <c r="S10" s="196">
        <f t="shared" si="2"/>
        <v>33.23076923076923</v>
      </c>
    </row>
    <row r="11" spans="2:19" s="107" customFormat="1" ht="18" customHeight="1">
      <c r="B11" s="117" t="s">
        <v>65</v>
      </c>
      <c r="C11" s="118">
        <v>11.2</v>
      </c>
      <c r="D11" s="108">
        <v>23</v>
      </c>
      <c r="E11" s="103">
        <v>33.23076923076923</v>
      </c>
      <c r="F11" s="110"/>
      <c r="G11" s="105">
        <v>7</v>
      </c>
      <c r="H11" s="109">
        <v>2</v>
      </c>
      <c r="I11" s="106">
        <f t="shared" si="0"/>
        <v>350000</v>
      </c>
      <c r="J11" s="122">
        <f t="shared" si="1"/>
        <v>50000</v>
      </c>
      <c r="K11" s="131" t="s">
        <v>12</v>
      </c>
      <c r="L11" s="132"/>
      <c r="M11" s="133"/>
      <c r="N11" s="109">
        <v>4</v>
      </c>
      <c r="O11" s="106">
        <f>O15*10%</f>
        <v>500000</v>
      </c>
      <c r="Q11" s="200"/>
      <c r="R11" s="103">
        <v>24</v>
      </c>
      <c r="S11" s="196">
        <f t="shared" si="2"/>
        <v>33.23076923076923</v>
      </c>
    </row>
    <row r="12" spans="2:19" s="107" customFormat="1" ht="18" customHeight="1">
      <c r="B12" s="100" t="s">
        <v>63</v>
      </c>
      <c r="C12" s="111">
        <v>23.6</v>
      </c>
      <c r="D12" s="105">
        <v>23</v>
      </c>
      <c r="E12" s="108">
        <v>34.61538461538461</v>
      </c>
      <c r="F12" s="104"/>
      <c r="G12" s="105">
        <v>8</v>
      </c>
      <c r="H12" s="109">
        <v>1</v>
      </c>
      <c r="I12" s="106">
        <f t="shared" si="0"/>
        <v>250000</v>
      </c>
      <c r="J12" s="122">
        <f t="shared" si="1"/>
        <v>50000</v>
      </c>
      <c r="K12" s="131" t="s">
        <v>13</v>
      </c>
      <c r="L12" s="132"/>
      <c r="M12" s="133"/>
      <c r="N12" s="109">
        <v>3</v>
      </c>
      <c r="O12" s="106">
        <f>O15*8%</f>
        <v>400000</v>
      </c>
      <c r="Q12" s="200"/>
      <c r="R12" s="108">
        <v>25</v>
      </c>
      <c r="S12" s="196">
        <f t="shared" si="2"/>
        <v>34.61538461538461</v>
      </c>
    </row>
    <row r="13" spans="2:19" s="107" customFormat="1" ht="18" customHeight="1">
      <c r="B13" s="100" t="s">
        <v>62</v>
      </c>
      <c r="C13" s="101">
        <v>24.2</v>
      </c>
      <c r="D13" s="105">
        <v>23</v>
      </c>
      <c r="E13" s="103">
        <v>34.61538461538461</v>
      </c>
      <c r="F13" s="104"/>
      <c r="G13" s="102"/>
      <c r="H13" s="105"/>
      <c r="I13" s="106">
        <f aca="true" t="shared" si="3" ref="I13:I28">J13</f>
        <v>50000</v>
      </c>
      <c r="J13" s="122">
        <f t="shared" si="1"/>
        <v>50000</v>
      </c>
      <c r="K13" s="131" t="s">
        <v>14</v>
      </c>
      <c r="L13" s="132"/>
      <c r="M13" s="133"/>
      <c r="N13" s="109">
        <v>2</v>
      </c>
      <c r="O13" s="106">
        <f>O15*6%</f>
        <v>300000</v>
      </c>
      <c r="Q13" s="200"/>
      <c r="R13" s="103">
        <v>25</v>
      </c>
      <c r="S13" s="196">
        <f t="shared" si="2"/>
        <v>34.61538461538461</v>
      </c>
    </row>
    <row r="14" spans="2:19" s="107" customFormat="1" ht="18" customHeight="1">
      <c r="B14" s="100" t="s">
        <v>66</v>
      </c>
      <c r="C14" s="101">
        <v>16.9</v>
      </c>
      <c r="D14" s="105">
        <v>20</v>
      </c>
      <c r="E14" s="108">
        <v>30.46153846153846</v>
      </c>
      <c r="F14" s="110"/>
      <c r="G14" s="105"/>
      <c r="H14" s="105"/>
      <c r="I14" s="106">
        <f t="shared" si="3"/>
        <v>50000</v>
      </c>
      <c r="J14" s="122">
        <f t="shared" si="1"/>
        <v>50000</v>
      </c>
      <c r="K14" s="131" t="s">
        <v>15</v>
      </c>
      <c r="L14" s="132"/>
      <c r="M14" s="133"/>
      <c r="N14" s="109">
        <v>1</v>
      </c>
      <c r="O14" s="106">
        <f>O15*4%</f>
        <v>200000</v>
      </c>
      <c r="Q14" s="200"/>
      <c r="R14" s="108">
        <v>22</v>
      </c>
      <c r="S14" s="196">
        <f t="shared" si="2"/>
        <v>30.46153846153846</v>
      </c>
    </row>
    <row r="15" spans="2:19" s="107" customFormat="1" ht="18" customHeight="1">
      <c r="B15" s="100" t="s">
        <v>80</v>
      </c>
      <c r="C15" s="101">
        <v>19.1</v>
      </c>
      <c r="D15" s="105">
        <v>20</v>
      </c>
      <c r="E15" s="108">
        <v>37.38461538461539</v>
      </c>
      <c r="F15" s="104"/>
      <c r="G15" s="105"/>
      <c r="H15" s="105"/>
      <c r="I15" s="106">
        <f t="shared" si="3"/>
        <v>50000</v>
      </c>
      <c r="J15" s="122">
        <f t="shared" si="1"/>
        <v>50000</v>
      </c>
      <c r="K15" s="136" t="s">
        <v>3</v>
      </c>
      <c r="L15" s="132"/>
      <c r="M15" s="133"/>
      <c r="N15" s="109"/>
      <c r="O15" s="119">
        <v>5000000</v>
      </c>
      <c r="Q15" s="200"/>
      <c r="R15" s="108">
        <v>27</v>
      </c>
      <c r="S15" s="196">
        <f t="shared" si="2"/>
        <v>37.38461538461539</v>
      </c>
    </row>
    <row r="16" spans="2:19" s="107" customFormat="1" ht="18" customHeight="1">
      <c r="B16" s="100" t="s">
        <v>79</v>
      </c>
      <c r="C16" s="101">
        <v>5.9</v>
      </c>
      <c r="D16" s="105">
        <v>19</v>
      </c>
      <c r="E16" s="108">
        <v>33.23076923076923</v>
      </c>
      <c r="F16" s="104"/>
      <c r="G16" s="105"/>
      <c r="H16" s="105"/>
      <c r="I16" s="106">
        <f t="shared" si="3"/>
        <v>50000</v>
      </c>
      <c r="J16" s="122">
        <f t="shared" si="1"/>
        <v>50000</v>
      </c>
      <c r="K16" s="136" t="s">
        <v>128</v>
      </c>
      <c r="L16" s="132"/>
      <c r="M16" s="133"/>
      <c r="N16" s="109">
        <v>1</v>
      </c>
      <c r="O16" s="106">
        <f>O13</f>
        <v>300000</v>
      </c>
      <c r="Q16" s="200"/>
      <c r="R16" s="108">
        <v>24</v>
      </c>
      <c r="S16" s="196">
        <f t="shared" si="2"/>
        <v>33.23076923076923</v>
      </c>
    </row>
    <row r="17" spans="2:19" s="107" customFormat="1" ht="18" customHeight="1">
      <c r="B17" s="100" t="s">
        <v>78</v>
      </c>
      <c r="C17" s="101">
        <v>16.2</v>
      </c>
      <c r="D17" s="105">
        <v>19</v>
      </c>
      <c r="E17" s="108">
        <v>34.61538461538461</v>
      </c>
      <c r="F17" s="110"/>
      <c r="G17" s="110"/>
      <c r="H17" s="110"/>
      <c r="I17" s="106">
        <f t="shared" si="3"/>
        <v>50000</v>
      </c>
      <c r="J17" s="122">
        <f t="shared" si="1"/>
        <v>50000</v>
      </c>
      <c r="Q17" s="200"/>
      <c r="R17" s="108">
        <v>25</v>
      </c>
      <c r="S17" s="196">
        <f t="shared" si="2"/>
        <v>34.61538461538461</v>
      </c>
    </row>
    <row r="18" spans="2:19" s="107" customFormat="1" ht="18" customHeight="1">
      <c r="B18" s="100" t="s">
        <v>192</v>
      </c>
      <c r="C18" s="101">
        <v>17.1</v>
      </c>
      <c r="D18" s="105">
        <v>19</v>
      </c>
      <c r="E18" s="108">
        <v>41.53846153846154</v>
      </c>
      <c r="F18" s="104"/>
      <c r="G18" s="110"/>
      <c r="H18" s="110"/>
      <c r="I18" s="106">
        <f t="shared" si="3"/>
        <v>50000</v>
      </c>
      <c r="J18" s="122">
        <f t="shared" si="1"/>
        <v>50000</v>
      </c>
      <c r="P18" s="114"/>
      <c r="Q18" s="200"/>
      <c r="R18" s="108">
        <v>30</v>
      </c>
      <c r="S18" s="196">
        <f t="shared" si="2"/>
        <v>41.53846153846154</v>
      </c>
    </row>
    <row r="19" spans="2:19" s="107" customFormat="1" ht="18" customHeight="1">
      <c r="B19" s="100" t="s">
        <v>69</v>
      </c>
      <c r="C19" s="101">
        <v>26.8</v>
      </c>
      <c r="D19" s="108">
        <v>16</v>
      </c>
      <c r="E19" s="103">
        <v>38.76923076923077</v>
      </c>
      <c r="F19" s="104"/>
      <c r="G19" s="105"/>
      <c r="H19" s="105"/>
      <c r="I19" s="106">
        <f t="shared" si="3"/>
        <v>50000</v>
      </c>
      <c r="J19" s="122">
        <f t="shared" si="1"/>
        <v>50000</v>
      </c>
      <c r="K19" s="110" t="s">
        <v>16</v>
      </c>
      <c r="L19" s="110" t="s">
        <v>5</v>
      </c>
      <c r="M19" s="110"/>
      <c r="N19" s="110" t="s">
        <v>17</v>
      </c>
      <c r="O19" s="110"/>
      <c r="P19" s="115"/>
      <c r="Q19" s="200"/>
      <c r="R19" s="103">
        <v>28</v>
      </c>
      <c r="S19" s="196">
        <f t="shared" si="2"/>
        <v>38.76923076923077</v>
      </c>
    </row>
    <row r="20" spans="2:19" s="107" customFormat="1" ht="18" customHeight="1">
      <c r="B20" s="100" t="s">
        <v>64</v>
      </c>
      <c r="C20" s="101">
        <v>14.2</v>
      </c>
      <c r="D20" s="108">
        <v>14</v>
      </c>
      <c r="E20" s="108">
        <v>44.30769230769231</v>
      </c>
      <c r="F20" s="104"/>
      <c r="G20" s="105"/>
      <c r="H20" s="105"/>
      <c r="I20" s="106">
        <f t="shared" si="3"/>
        <v>50000</v>
      </c>
      <c r="J20" s="122">
        <f t="shared" si="1"/>
        <v>50000</v>
      </c>
      <c r="K20" s="110">
        <v>1</v>
      </c>
      <c r="L20" s="110" t="s">
        <v>18</v>
      </c>
      <c r="M20" s="110">
        <v>10</v>
      </c>
      <c r="N20" s="106" t="s">
        <v>18</v>
      </c>
      <c r="O20" s="106">
        <f>O15*20%</f>
        <v>1000000</v>
      </c>
      <c r="P20" s="115"/>
      <c r="Q20" s="200"/>
      <c r="R20" s="108">
        <v>32</v>
      </c>
      <c r="S20" s="196">
        <f t="shared" si="2"/>
        <v>44.30769230769231</v>
      </c>
    </row>
    <row r="21" spans="2:19" s="4" customFormat="1" ht="18" customHeight="1">
      <c r="B21" s="100" t="s">
        <v>67</v>
      </c>
      <c r="C21" s="101">
        <v>16.6</v>
      </c>
      <c r="D21" s="110">
        <v>13</v>
      </c>
      <c r="E21" s="108">
        <v>40.15384615384615</v>
      </c>
      <c r="F21" s="104"/>
      <c r="G21" s="110"/>
      <c r="H21" s="110"/>
      <c r="I21" s="106">
        <f t="shared" si="3"/>
        <v>50000</v>
      </c>
      <c r="J21" s="122">
        <f t="shared" si="1"/>
        <v>50000</v>
      </c>
      <c r="K21" s="110">
        <v>2</v>
      </c>
      <c r="L21" s="110" t="s">
        <v>18</v>
      </c>
      <c r="M21" s="110">
        <v>6</v>
      </c>
      <c r="N21" s="106" t="s">
        <v>18</v>
      </c>
      <c r="O21" s="106">
        <f>O15*15%</f>
        <v>750000</v>
      </c>
      <c r="Q21" s="198"/>
      <c r="R21" s="108">
        <v>29</v>
      </c>
      <c r="S21" s="196">
        <f t="shared" si="2"/>
        <v>40.15384615384615</v>
      </c>
    </row>
    <row r="22" spans="2:19" s="4" customFormat="1" ht="18" customHeight="1">
      <c r="B22" s="100" t="s">
        <v>83</v>
      </c>
      <c r="C22" s="111">
        <v>7.5</v>
      </c>
      <c r="D22" s="105"/>
      <c r="E22" s="108"/>
      <c r="F22" s="104"/>
      <c r="G22" s="110"/>
      <c r="H22" s="110"/>
      <c r="I22" s="106">
        <f t="shared" si="3"/>
        <v>0</v>
      </c>
      <c r="J22" s="122">
        <f t="shared" si="1"/>
        <v>0</v>
      </c>
      <c r="K22" s="110">
        <v>3</v>
      </c>
      <c r="L22" s="110" t="s">
        <v>18</v>
      </c>
      <c r="M22" s="110">
        <v>4</v>
      </c>
      <c r="N22" s="106" t="s">
        <v>18</v>
      </c>
      <c r="O22" s="106">
        <f>O15*10%</f>
        <v>500000</v>
      </c>
      <c r="Q22" s="198"/>
      <c r="R22" s="103"/>
      <c r="S22" s="196">
        <f t="shared" si="2"/>
        <v>0</v>
      </c>
    </row>
    <row r="23" spans="2:19" s="4" customFormat="1" ht="18" customHeight="1">
      <c r="B23" s="100" t="s">
        <v>77</v>
      </c>
      <c r="C23" s="101">
        <v>9.6</v>
      </c>
      <c r="D23" s="112"/>
      <c r="E23" s="108"/>
      <c r="F23" s="110"/>
      <c r="G23" s="110"/>
      <c r="H23" s="110"/>
      <c r="I23" s="106">
        <f t="shared" si="3"/>
        <v>0</v>
      </c>
      <c r="J23" s="122">
        <f t="shared" si="1"/>
        <v>0</v>
      </c>
      <c r="K23" s="110">
        <v>4</v>
      </c>
      <c r="L23" s="110" t="s">
        <v>18</v>
      </c>
      <c r="M23" s="110">
        <v>2</v>
      </c>
      <c r="N23" s="106" t="s">
        <v>18</v>
      </c>
      <c r="O23" s="106">
        <f>O15*5%</f>
        <v>250000</v>
      </c>
      <c r="Q23" s="198"/>
      <c r="R23" s="103"/>
      <c r="S23" s="196">
        <f t="shared" si="2"/>
        <v>0</v>
      </c>
    </row>
    <row r="24" spans="2:19" s="4" customFormat="1" ht="18" customHeight="1">
      <c r="B24" s="100" t="s">
        <v>82</v>
      </c>
      <c r="C24" s="101">
        <v>19.8</v>
      </c>
      <c r="D24" s="108"/>
      <c r="E24" s="108"/>
      <c r="F24" s="104"/>
      <c r="G24" s="110"/>
      <c r="H24" s="110"/>
      <c r="I24" s="106">
        <f t="shared" si="3"/>
        <v>0</v>
      </c>
      <c r="J24" s="122">
        <f t="shared" si="1"/>
        <v>0</v>
      </c>
      <c r="M24" s="120"/>
      <c r="N24" s="121"/>
      <c r="O24" s="121"/>
      <c r="Q24" s="198"/>
      <c r="R24" s="103"/>
      <c r="S24" s="196">
        <f t="shared" si="2"/>
        <v>0</v>
      </c>
    </row>
    <row r="25" spans="2:19" s="4" customFormat="1" ht="18" customHeight="1">
      <c r="B25" s="100" t="s">
        <v>68</v>
      </c>
      <c r="C25" s="101">
        <v>19.9</v>
      </c>
      <c r="D25" s="110"/>
      <c r="E25" s="108"/>
      <c r="F25" s="110"/>
      <c r="G25" s="110"/>
      <c r="H25" s="110"/>
      <c r="I25" s="106">
        <f t="shared" si="3"/>
        <v>0</v>
      </c>
      <c r="J25" s="122">
        <f t="shared" si="1"/>
        <v>0</v>
      </c>
      <c r="M25" s="120"/>
      <c r="N25" s="121"/>
      <c r="O25" s="121"/>
      <c r="Q25" s="198"/>
      <c r="R25" s="108"/>
      <c r="S25" s="196">
        <f t="shared" si="2"/>
        <v>0</v>
      </c>
    </row>
    <row r="26" spans="2:19" s="4" customFormat="1" ht="18" customHeight="1">
      <c r="B26" s="100" t="s">
        <v>58</v>
      </c>
      <c r="C26" s="101">
        <v>22.2</v>
      </c>
      <c r="D26" s="105"/>
      <c r="E26" s="108"/>
      <c r="F26" s="104"/>
      <c r="G26" s="110"/>
      <c r="H26" s="110"/>
      <c r="I26" s="106">
        <f t="shared" si="3"/>
        <v>0</v>
      </c>
      <c r="J26" s="122">
        <f t="shared" si="1"/>
        <v>0</v>
      </c>
      <c r="K26" s="110" t="s">
        <v>19</v>
      </c>
      <c r="L26" s="110" t="s">
        <v>5</v>
      </c>
      <c r="M26" s="110"/>
      <c r="N26" s="106" t="s">
        <v>17</v>
      </c>
      <c r="O26" s="106"/>
      <c r="Q26" s="198"/>
      <c r="R26" s="103"/>
      <c r="S26" s="196">
        <f t="shared" si="2"/>
        <v>0</v>
      </c>
    </row>
    <row r="27" spans="2:19" s="4" customFormat="1" ht="18" customHeight="1">
      <c r="B27" s="100" t="s">
        <v>81</v>
      </c>
      <c r="C27" s="101">
        <v>30</v>
      </c>
      <c r="D27" s="105"/>
      <c r="E27" s="108"/>
      <c r="F27" s="110"/>
      <c r="G27" s="105"/>
      <c r="H27" s="105"/>
      <c r="I27" s="106">
        <f t="shared" si="3"/>
        <v>0</v>
      </c>
      <c r="J27" s="122">
        <f t="shared" si="1"/>
        <v>0</v>
      </c>
      <c r="K27" s="110">
        <v>1</v>
      </c>
      <c r="L27" s="110" t="s">
        <v>21</v>
      </c>
      <c r="M27" s="110">
        <v>10</v>
      </c>
      <c r="N27" s="106" t="s">
        <v>21</v>
      </c>
      <c r="O27" s="106">
        <f>O7*67%</f>
        <v>837500</v>
      </c>
      <c r="Q27" s="198"/>
      <c r="R27" s="112"/>
      <c r="S27" s="196">
        <f t="shared" si="2"/>
        <v>0</v>
      </c>
    </row>
    <row r="28" spans="2:19" s="4" customFormat="1" ht="18" customHeight="1">
      <c r="B28" s="117" t="s">
        <v>84</v>
      </c>
      <c r="C28" s="118">
        <v>33</v>
      </c>
      <c r="D28" s="108"/>
      <c r="E28" s="103"/>
      <c r="F28" s="116"/>
      <c r="G28" s="105"/>
      <c r="H28" s="105"/>
      <c r="I28" s="106">
        <f t="shared" si="3"/>
        <v>0</v>
      </c>
      <c r="J28" s="122">
        <f t="shared" si="1"/>
        <v>0</v>
      </c>
      <c r="K28" s="110">
        <v>2</v>
      </c>
      <c r="L28" s="110" t="s">
        <v>20</v>
      </c>
      <c r="M28" s="110">
        <v>5</v>
      </c>
      <c r="N28" s="106" t="s">
        <v>20</v>
      </c>
      <c r="O28" s="106">
        <f>O7*33%</f>
        <v>412500</v>
      </c>
      <c r="Q28" s="198"/>
      <c r="R28" s="103"/>
      <c r="S28" s="196">
        <f t="shared" si="2"/>
        <v>0</v>
      </c>
    </row>
    <row r="29" spans="2:19" ht="24" customHeight="1" thickBot="1">
      <c r="B29" s="1"/>
      <c r="C29" s="2"/>
      <c r="D29" s="3"/>
      <c r="E29" s="3"/>
      <c r="F29" s="3"/>
      <c r="G29" s="2"/>
      <c r="H29" s="2"/>
      <c r="I29" s="82">
        <f>SUM(I5:I28)</f>
        <v>6150000</v>
      </c>
      <c r="J29" s="123"/>
      <c r="Q29" s="205"/>
      <c r="R29" s="205"/>
      <c r="S29" s="205"/>
    </row>
    <row r="30" spans="2:10" ht="24" customHeight="1" thickTop="1">
      <c r="B30" s="1"/>
      <c r="C30" s="2"/>
      <c r="D30" s="3"/>
      <c r="E30" s="3"/>
      <c r="F30" s="3"/>
      <c r="G30" s="2"/>
      <c r="H30" s="2"/>
      <c r="I30" s="124"/>
      <c r="J30" s="123"/>
    </row>
    <row r="32" ht="18"/>
    <row r="33" ht="18"/>
    <row r="34" ht="18"/>
  </sheetData>
  <sheetProtection/>
  <mergeCells count="2">
    <mergeCell ref="C2:O2"/>
    <mergeCell ref="C3:O3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 skilte A/S</dc:creator>
  <cp:keywords/>
  <dc:description/>
  <cp:lastModifiedBy>Børge</cp:lastModifiedBy>
  <cp:lastPrinted>2009-09-26T15:40:15Z</cp:lastPrinted>
  <dcterms:created xsi:type="dcterms:W3CDTF">2006-03-17T14:01:46Z</dcterms:created>
  <dcterms:modified xsi:type="dcterms:W3CDTF">2009-09-26T15:40:16Z</dcterms:modified>
  <cp:category/>
  <cp:version/>
  <cp:contentType/>
  <cp:contentStatus/>
</cp:coreProperties>
</file>