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drawings/drawing18.xml" ContentType="application/vnd.openxmlformats-officedocument.drawing+xml"/>
  <Override PartName="/xl/worksheets/sheet21.xml" ContentType="application/vnd.openxmlformats-officedocument.spreadsheetml.worksheet+xml"/>
  <Override PartName="/xl/drawings/drawing19.xml" ContentType="application/vnd.openxmlformats-officedocument.drawing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drawings/drawing23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worksheets/sheet30.xml" ContentType="application/vnd.openxmlformats-officedocument.spreadsheetml.worksheet+xml"/>
  <Override PartName="/xl/drawings/drawing28.xml" ContentType="application/vnd.openxmlformats-officedocument.drawing+xml"/>
  <Override PartName="/xl/worksheets/sheet31.xml" ContentType="application/vnd.openxmlformats-officedocument.spreadsheetml.worksheet+xml"/>
  <Override PartName="/xl/drawings/drawing29.xml" ContentType="application/vnd.openxmlformats-officedocument.drawing+xml"/>
  <Override PartName="/xl/worksheets/sheet32.xml" ContentType="application/vnd.openxmlformats-officedocument.spreadsheetml.worksheet+xml"/>
  <Override PartName="/xl/drawings/drawing30.xml" ContentType="application/vnd.openxmlformats-officedocument.drawing+xml"/>
  <Override PartName="/xl/worksheets/sheet33.xml" ContentType="application/vnd.openxmlformats-officedocument.spreadsheetml.worksheet+xml"/>
  <Override PartName="/xl/drawings/drawing31.xml" ContentType="application/vnd.openxmlformats-officedocument.drawing+xml"/>
  <Override PartName="/xl/worksheets/sheet34.xml" ContentType="application/vnd.openxmlformats-officedocument.spreadsheetml.worksheet+xml"/>
  <Override PartName="/xl/drawings/drawing32.xml" ContentType="application/vnd.openxmlformats-officedocument.drawing+xml"/>
  <Override PartName="/xl/worksheets/sheet35.xml" ContentType="application/vnd.openxmlformats-officedocument.spreadsheetml.worksheet+xml"/>
  <Override PartName="/xl/drawings/drawing33.xml" ContentType="application/vnd.openxmlformats-officedocument.drawing+xml"/>
  <Override PartName="/xl/worksheets/sheet36.xml" ContentType="application/vnd.openxmlformats-officedocument.spreadsheetml.worksheet+xml"/>
  <Override PartName="/xl/drawings/drawing34.xml" ContentType="application/vnd.openxmlformats-officedocument.drawing+xml"/>
  <Override PartName="/xl/worksheets/sheet37.xml" ContentType="application/vnd.openxmlformats-officedocument.spreadsheetml.worksheet+xml"/>
  <Override PartName="/xl/drawings/drawing35.xml" ContentType="application/vnd.openxmlformats-officedocument.drawing+xml"/>
  <Override PartName="/xl/worksheets/sheet38.xml" ContentType="application/vnd.openxmlformats-officedocument.spreadsheetml.worksheet+xml"/>
  <Override PartName="/xl/drawings/drawing36.xml" ContentType="application/vnd.openxmlformats-officedocument.drawing+xml"/>
  <Override PartName="/xl/worksheets/sheet39.xml" ContentType="application/vnd.openxmlformats-officedocument.spreadsheetml.worksheet+xml"/>
  <Override PartName="/xl/drawings/drawing37.xml" ContentType="application/vnd.openxmlformats-officedocument.drawing+xml"/>
  <Override PartName="/xl/worksheets/sheet40.xml" ContentType="application/vnd.openxmlformats-officedocument.spreadsheetml.worksheet+xml"/>
  <Override PartName="/xl/drawings/drawing38.xml" ContentType="application/vnd.openxmlformats-officedocument.drawing+xml"/>
  <Override PartName="/xl/worksheets/sheet41.xml" ContentType="application/vnd.openxmlformats-officedocument.spreadsheetml.worksheet+xml"/>
  <Override PartName="/xl/drawings/drawing39.xml" ContentType="application/vnd.openxmlformats-officedocument.drawing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1200" windowHeight="24500" tabRatio="825" activeTab="0"/>
  </bookViews>
  <sheets>
    <sheet name="Samlet Stilling" sheetId="1" r:id="rId1"/>
    <sheet name="Medlemmer" sheetId="2" r:id="rId2"/>
    <sheet name="Money" sheetId="3" r:id="rId3"/>
    <sheet name="Point" sheetId="4" r:id="rId4"/>
    <sheet name="Puts" sheetId="5" r:id="rId5"/>
    <sheet name="Tæt-flag" sheetId="6" r:id="rId6"/>
    <sheet name="Webm" sheetId="7" r:id="rId7"/>
    <sheet name="02-10" sheetId="8" r:id="rId8"/>
    <sheet name="25-09" sheetId="9" r:id="rId9"/>
    <sheet name="18-09" sheetId="10" r:id="rId10"/>
    <sheet name="11-09" sheetId="11" r:id="rId11"/>
    <sheet name="06-09b" sheetId="12" r:id="rId12"/>
    <sheet name="06-09a" sheetId="13" r:id="rId13"/>
    <sheet name="04-09" sheetId="14" r:id="rId14"/>
    <sheet name="28-08" sheetId="15" r:id="rId15"/>
    <sheet name="21-08" sheetId="16" r:id="rId16"/>
    <sheet name="14-08" sheetId="17" r:id="rId17"/>
    <sheet name="07-08" sheetId="18" r:id="rId18"/>
    <sheet name="31-07" sheetId="19" r:id="rId19"/>
    <sheet name="24-07" sheetId="20" r:id="rId20"/>
    <sheet name="17-07" sheetId="21" r:id="rId21"/>
    <sheet name="10-07" sheetId="22" r:id="rId22"/>
    <sheet name="03-07" sheetId="23" r:id="rId23"/>
    <sheet name="26-06" sheetId="24" r:id="rId24"/>
    <sheet name="21-06b" sheetId="25" r:id="rId25"/>
    <sheet name="21-06a" sheetId="26" r:id="rId26"/>
    <sheet name="19-06" sheetId="27" r:id="rId27"/>
    <sheet name="12-06" sheetId="28" r:id="rId28"/>
    <sheet name="05-06" sheetId="29" r:id="rId29"/>
    <sheet name="29-05" sheetId="30" r:id="rId30"/>
    <sheet name="22-05" sheetId="31" r:id="rId31"/>
    <sheet name="15-05" sheetId="32" r:id="rId32"/>
    <sheet name="08-05" sheetId="33" r:id="rId33"/>
    <sheet name="01-05" sheetId="34" r:id="rId34"/>
    <sheet name="24-04" sheetId="35" r:id="rId35"/>
    <sheet name="17-04" sheetId="36" r:id="rId36"/>
    <sheet name="10-04" sheetId="37" r:id="rId37"/>
    <sheet name="03-04" sheetId="38" r:id="rId38"/>
    <sheet name="27-03" sheetId="39" r:id="rId39"/>
    <sheet name="20-03" sheetId="40" r:id="rId40"/>
    <sheet name="13-03" sheetId="41" r:id="rId41"/>
    <sheet name="Tourplan" sheetId="42" r:id="rId42"/>
    <sheet name="Tourplan m. sløjfer" sheetId="43" r:id="rId43"/>
    <sheet name="Starttider" sheetId="44" r:id="rId44"/>
    <sheet name="Vindere" sheetId="45" r:id="rId45"/>
  </sheets>
  <externalReferences>
    <externalReference r:id="rId48"/>
  </externalReferences>
  <definedNames>
    <definedName name="_xlnm._FilterDatabase" localSheetId="2" hidden="1">'Money'!$A$2:$AM$2</definedName>
    <definedName name="_xlnm._FilterDatabase" localSheetId="3" hidden="1">'Point'!$B$2:$AO$2</definedName>
    <definedName name="_xlnm._FilterDatabase" localSheetId="4" hidden="1">'Puts'!$B$2:$AJ$2</definedName>
    <definedName name="_xlnm._FilterDatabase" localSheetId="5" hidden="1">'Tæt-flag'!$B$2:$E$2</definedName>
    <definedName name="Excel_BuiltIn__FilterDatabase_1">'Samlet Stilling'!$D$2:$D$28</definedName>
    <definedName name="Excel_BuiltIn__FilterDatabase_10">'[1]THE FINAL'!$A$10:$G$14</definedName>
    <definedName name="Excel_BuiltIn__FilterDatabase_11">'18-09'!$A$10:$H$14</definedName>
    <definedName name="Excel_BuiltIn__FilterDatabase_12">'11-09'!$A$10:$H$14</definedName>
    <definedName name="Excel_BuiltIn__FilterDatabase_13">'06-09b'!$A$10:$H$14</definedName>
    <definedName name="Excel_BuiltIn__FilterDatabase_14">'06-09a'!$A$10:$H$14</definedName>
    <definedName name="Excel_BuiltIn__FilterDatabase_15">'04-09'!$A$10:$H$14</definedName>
    <definedName name="Excel_BuiltIn__FilterDatabase_16">'28-08'!$A$10:$H$14</definedName>
    <definedName name="Excel_BuiltIn__FilterDatabase_17">'21-08'!$A$10:$H$14</definedName>
    <definedName name="Excel_BuiltIn__FilterDatabase_18">'14-08'!$A$10:$H$14</definedName>
    <definedName name="Excel_BuiltIn__FilterDatabase_19">'07-08'!$A$10:$H$14</definedName>
    <definedName name="Excel_BuiltIn__FilterDatabase_20">'31-07'!$A$10:$H$14</definedName>
    <definedName name="Excel_BuiltIn__FilterDatabase_21">'24-07'!$A$10:$H$14</definedName>
    <definedName name="Excel_BuiltIn__FilterDatabase_22">'17-07'!$A$10:$H$14</definedName>
    <definedName name="Excel_BuiltIn__FilterDatabase_23">'10-07'!$A$10:$H$14</definedName>
    <definedName name="Excel_BuiltIn__FilterDatabase_24">'03-07'!$A$10:$H$14</definedName>
    <definedName name="Excel_BuiltIn__FilterDatabase_25">'26-06'!$A$10:$H$14</definedName>
    <definedName name="Excel_BuiltIn__FilterDatabase_26">'19-06'!$A$10:$H$14</definedName>
    <definedName name="Excel_BuiltIn__FilterDatabase_27">'12-06'!$A$10:$H$14</definedName>
    <definedName name="Excel_BuiltIn__FilterDatabase_28">'05-06'!$A$10:$H$14</definedName>
    <definedName name="Excel_BuiltIn__FilterDatabase_29">'29-05'!$A$10:$H$14</definedName>
    <definedName name="Excel_BuiltIn__FilterDatabase_3">'Money'!$C$2:$C$20</definedName>
    <definedName name="Excel_BuiltIn__FilterDatabase_30">'21-06b'!$A$10:$H$14</definedName>
    <definedName name="Excel_BuiltIn__FilterDatabase_31">'21-06a'!$A$10:$H$14</definedName>
    <definedName name="Excel_BuiltIn__FilterDatabase_32">'22-05'!$A$10:$H$14</definedName>
    <definedName name="Excel_BuiltIn__FilterDatabase_33">'15-05'!$A$10:$H$14</definedName>
    <definedName name="Excel_BuiltIn__FilterDatabase_34">'08-05'!$A$10:$H$14</definedName>
    <definedName name="Excel_BuiltIn__FilterDatabase_35">'01-05'!$A$10:$H$14</definedName>
    <definedName name="Excel_BuiltIn__FilterDatabase_36">'24-04'!$A$10:$H$14</definedName>
    <definedName name="Excel_BuiltIn__FilterDatabase_37">'17-04'!$A$10:$H$14</definedName>
    <definedName name="Excel_BuiltIn__FilterDatabase_38">'10-04'!$A$10:$H$14</definedName>
    <definedName name="Excel_BuiltIn__FilterDatabase_39">'03-04'!$A$10:$H$14</definedName>
    <definedName name="Excel_BuiltIn__FilterDatabase_4">'Point'!$C$2:$C$26</definedName>
    <definedName name="Excel_BuiltIn__FilterDatabase_40">'27-03'!$A$10:$H$14</definedName>
    <definedName name="Excel_BuiltIn__FilterDatabase_41">'20-03'!$A$10:$H$14</definedName>
    <definedName name="Excel_BuiltIn__FilterDatabase_42">'13-03'!$A$10:$H$14</definedName>
    <definedName name="Excel_BuiltIn__FilterDatabase_5">'Puts'!$B$3:$AK$26</definedName>
    <definedName name="Excel_BuiltIn__FilterDatabase_6">'Tæt-flag'!$C$2:$C$32</definedName>
    <definedName name="Excel_BuiltIn__FilterDatabase_8">'02-10'!$A$10:$H$14</definedName>
    <definedName name="Excel_BuiltIn__FilterDatabase_9">'25-09'!$A$10:$H$14</definedName>
    <definedName name="_xlnm.Print_Area" localSheetId="33">'01-05'!$A$1:$O$28</definedName>
    <definedName name="_xlnm.Print_Area" localSheetId="37">'03-04'!$A$1:$O$28</definedName>
    <definedName name="_xlnm.Print_Area" localSheetId="22">'03-07'!$A$1:$N$28</definedName>
    <definedName name="_xlnm.Print_Area" localSheetId="13">'04-09'!$A$1:$O$28</definedName>
    <definedName name="_xlnm.Print_Area" localSheetId="28">'05-06'!$A$1:$O$28</definedName>
    <definedName name="_xlnm.Print_Area" localSheetId="12">'06-09a'!$A$1:$O$28</definedName>
    <definedName name="_xlnm.Print_Area" localSheetId="11">'06-09b'!$A$1:$O$28</definedName>
    <definedName name="_xlnm.Print_Area" localSheetId="17">'07-08'!$A$1:$O$28</definedName>
    <definedName name="_xlnm.Print_Area" localSheetId="32">'08-05'!$A$1:$O$28</definedName>
    <definedName name="_xlnm.Print_Area" localSheetId="36">'10-04'!$A$1:$O$28</definedName>
    <definedName name="_xlnm.Print_Area" localSheetId="21">'10-07'!$A$1:$O$28</definedName>
    <definedName name="_xlnm.Print_Area" localSheetId="10">'11-09'!$A$1:$O$28</definedName>
    <definedName name="_xlnm.Print_Area" localSheetId="27">'12-06'!$A$1:$O$28</definedName>
    <definedName name="_xlnm.Print_Area" localSheetId="40">'13-03'!$A$1:$O$28</definedName>
    <definedName name="_xlnm.Print_Area" localSheetId="16">'14-08'!$A$1:$O$28</definedName>
    <definedName name="_xlnm.Print_Area" localSheetId="31">'15-05'!$A$1:$O$28</definedName>
    <definedName name="_xlnm.Print_Area" localSheetId="35">'17-04'!$A$1:$O$28</definedName>
    <definedName name="_xlnm.Print_Area" localSheetId="20">'17-07'!$A$1:$O$28</definedName>
    <definedName name="_xlnm.Print_Area" localSheetId="9">'18-09'!$A$1:$O$28</definedName>
    <definedName name="_xlnm.Print_Area" localSheetId="26">'19-06'!$A$1:$O$28</definedName>
    <definedName name="_xlnm.Print_Area" localSheetId="39">'20-03'!$A$1:$O$28</definedName>
    <definedName name="_xlnm.Print_Area" localSheetId="25">'21-06a'!$A$1:$O$28</definedName>
    <definedName name="_xlnm.Print_Area" localSheetId="24">'21-06b'!$A$1:$O$28</definedName>
    <definedName name="_xlnm.Print_Area" localSheetId="15">'21-08'!$A$1:$O$28</definedName>
    <definedName name="_xlnm.Print_Area" localSheetId="30">'22-05'!$A$1:$O$28</definedName>
    <definedName name="_xlnm.Print_Area" localSheetId="34">'24-04'!$A$1:$O$28</definedName>
    <definedName name="_xlnm.Print_Area" localSheetId="19">'24-07'!$A$1:$O$28</definedName>
    <definedName name="_xlnm.Print_Area" localSheetId="23">'26-06'!$A$1:$O$28</definedName>
    <definedName name="_xlnm.Print_Area" localSheetId="38">'27-03'!$A$1:$O$28</definedName>
    <definedName name="_xlnm.Print_Area" localSheetId="14">'28-08'!$A$1:$O$28</definedName>
    <definedName name="_xlnm.Print_Area" localSheetId="29">'29-05'!$A$1:$O$28</definedName>
    <definedName name="_xlnm.Print_Area" localSheetId="18">'31-07'!$A$1:$O$28</definedName>
    <definedName name="_xlnm.Print_Area" localSheetId="2">'Money'!$B$1:$AM$28</definedName>
    <definedName name="_xlnm.Print_Area" localSheetId="3">'Point'!$B$1:$AO$29</definedName>
    <definedName name="_xlnm.Print_Area" localSheetId="4">'Puts'!$A$1:$AM$31</definedName>
    <definedName name="_xlnm.Print_Area" localSheetId="5">'Tæt-flag'!$B$1:$I$28</definedName>
  </definedNames>
  <calcPr fullCalcOnLoad="1"/>
</workbook>
</file>

<file path=xl/sharedStrings.xml><?xml version="1.0" encoding="utf-8"?>
<sst xmlns="http://schemas.openxmlformats.org/spreadsheetml/2006/main" count="2494" uniqueCount="353">
  <si>
    <t>POINT</t>
  </si>
  <si>
    <t>MONEY</t>
  </si>
  <si>
    <t>PUTS</t>
  </si>
  <si>
    <t>NÆRMEST FLAGET</t>
  </si>
  <si>
    <t>LÆNGSTE DRIVE</t>
  </si>
  <si>
    <t>Inngolf Banerekorder:</t>
  </si>
  <si>
    <t>Skoven-Sletten: Dan 75 slag 24/3-05      Sletten-Ådalen: Stig 74 slag 21/7-05      Ådalen-Skoven: Dan 78 slag 28/7-05</t>
  </si>
  <si>
    <t>Skoven-Sletten: Henning V. 13 points 5/7-12 (hvid tee) - Sletten-Ådalen: Ivar. 13 points 9/7-09 - Ådalen-Skoven: Torben C. 11 points 29/4-10</t>
  </si>
  <si>
    <t>Fornavn</t>
  </si>
  <si>
    <t>Handicap</t>
  </si>
  <si>
    <t>Bo Hansen</t>
  </si>
  <si>
    <t>Bo H</t>
  </si>
  <si>
    <t>Børge Heiberg</t>
  </si>
  <si>
    <t>Børge H</t>
  </si>
  <si>
    <t>Carsten Dahl</t>
  </si>
  <si>
    <t>Carsten D</t>
  </si>
  <si>
    <t>Carsten Lund</t>
  </si>
  <si>
    <t>Carsten L</t>
  </si>
  <si>
    <t>Claus Jessen</t>
  </si>
  <si>
    <t>Claus J</t>
  </si>
  <si>
    <t>Erik M. Pedersen</t>
  </si>
  <si>
    <t>Erik P</t>
  </si>
  <si>
    <t>Finn E. Christensen</t>
  </si>
  <si>
    <t>Finn EC</t>
  </si>
  <si>
    <t>Hans Martin Vestergaard</t>
  </si>
  <si>
    <t>Hans MV</t>
  </si>
  <si>
    <t>Henning B. Nielsen</t>
  </si>
  <si>
    <t>Henning B</t>
  </si>
  <si>
    <t>Henning Vestergaard</t>
  </si>
  <si>
    <t>Henning V</t>
  </si>
  <si>
    <t>Jakob Kristensen</t>
  </si>
  <si>
    <t>Jakob K</t>
  </si>
  <si>
    <t>Jan Hegner</t>
  </si>
  <si>
    <t>Jan H</t>
  </si>
  <si>
    <t>Jens Laigaard</t>
  </si>
  <si>
    <t>Jens L</t>
  </si>
  <si>
    <t>Jesper Vohs Nielsen</t>
  </si>
  <si>
    <t>Jesper VN</t>
  </si>
  <si>
    <t>John Sørensen</t>
  </si>
  <si>
    <t>John S</t>
  </si>
  <si>
    <t>Karsten Valeur</t>
  </si>
  <si>
    <t>Karsten V</t>
  </si>
  <si>
    <t>Martin Andersen</t>
  </si>
  <si>
    <t>Martin A</t>
  </si>
  <si>
    <t>Morten Clausen</t>
  </si>
  <si>
    <t>Morten C</t>
  </si>
  <si>
    <t>Ole Malmskov</t>
  </si>
  <si>
    <t>Ole M</t>
  </si>
  <si>
    <t>Per Nørsten</t>
  </si>
  <si>
    <t>Per N</t>
  </si>
  <si>
    <t>Robin Thybo</t>
  </si>
  <si>
    <t>Robin T</t>
  </si>
  <si>
    <t>Steen N. Pedersen</t>
  </si>
  <si>
    <t>Steen NP</t>
  </si>
  <si>
    <t>Thorkild Jensen</t>
  </si>
  <si>
    <t>Thorkild J</t>
  </si>
  <si>
    <t>Torben Jacobsen</t>
  </si>
  <si>
    <t>Torben J</t>
  </si>
  <si>
    <t>Poul D. Andersen</t>
  </si>
  <si>
    <t>Poul DA</t>
  </si>
  <si>
    <t>Money List</t>
  </si>
  <si>
    <t>Samlet</t>
  </si>
  <si>
    <t xml:space="preserve">Runder spillet                     </t>
  </si>
  <si>
    <t>Steen N P</t>
  </si>
  <si>
    <t>Kontrol:</t>
  </si>
  <si>
    <t xml:space="preserve"> Inngolf Ranking</t>
  </si>
  <si>
    <t>Tællende</t>
  </si>
  <si>
    <t>Min. tællende</t>
  </si>
  <si>
    <t>1. pladser</t>
  </si>
  <si>
    <t>De 18 bedste resultater tæller, resten udgår (feltet markeret med rød tekst)</t>
  </si>
  <si>
    <t xml:space="preserve">    Puts</t>
  </si>
  <si>
    <t>Gen.snit</t>
  </si>
  <si>
    <t>Putte-rund.</t>
  </si>
  <si>
    <t>Med 37 puts</t>
  </si>
  <si>
    <t>Runder tæller</t>
  </si>
  <si>
    <t>Når der spilles mindre end 18 huller, udregnes put antal ud fra gennemsnittet af de spillede huller</t>
  </si>
  <si>
    <t>De dårligste streges (markeret med rød tekst hvis man har spillet over 18 runder.</t>
  </si>
  <si>
    <t>Manglende runder op til 18 udregnet efter 37 puts!</t>
  </si>
  <si>
    <t xml:space="preserve">                Tættest Flaget</t>
  </si>
  <si>
    <t>Længste Drive</t>
  </si>
  <si>
    <t>Afstand i m</t>
  </si>
  <si>
    <t>Hul</t>
  </si>
  <si>
    <t>Dato</t>
  </si>
  <si>
    <t>Bane</t>
  </si>
  <si>
    <t>CLOSEST PIN</t>
  </si>
  <si>
    <t>LONGEST DRIVE</t>
  </si>
  <si>
    <t>Seve Trophy</t>
  </si>
  <si>
    <t>18 huller</t>
  </si>
  <si>
    <t>Spiller</t>
  </si>
  <si>
    <t>HCP</t>
  </si>
  <si>
    <t>Slag / point</t>
  </si>
  <si>
    <t>Puts</t>
  </si>
  <si>
    <t>Tættest Flaget</t>
  </si>
  <si>
    <t>Placering</t>
  </si>
  <si>
    <t>Point</t>
  </si>
  <si>
    <t>Sign on fee          + $-præmie</t>
  </si>
  <si>
    <t>$</t>
  </si>
  <si>
    <t>1 (25%)</t>
  </si>
  <si>
    <t>2 (20%)</t>
  </si>
  <si>
    <t>3 (15%)</t>
  </si>
  <si>
    <t>4 (12%)</t>
  </si>
  <si>
    <t>5 (10%)</t>
  </si>
  <si>
    <t>6 (8%)</t>
  </si>
  <si>
    <t>7 (6%)</t>
  </si>
  <si>
    <t>8 (4%)</t>
  </si>
  <si>
    <t>Præmiesum i $:</t>
  </si>
  <si>
    <t>Tæt. Flag ($= 7. pl)</t>
  </si>
  <si>
    <t>Puts er omregnet til 18 huller</t>
  </si>
  <si>
    <t>Antal huller
spillet</t>
  </si>
  <si>
    <t>Omregnet
til</t>
  </si>
  <si>
    <t>Tour Championship by Coca-Cola</t>
  </si>
  <si>
    <t>BMW Championship</t>
  </si>
  <si>
    <t>-</t>
  </si>
  <si>
    <t>Makker</t>
  </si>
  <si>
    <t>Money</t>
  </si>
  <si>
    <t>2 x</t>
  </si>
  <si>
    <t>Hold</t>
  </si>
  <si>
    <t>4x</t>
  </si>
  <si>
    <t>Deutsche Bank Championship</t>
  </si>
  <si>
    <t>The Barclays</t>
  </si>
  <si>
    <t>PGA Championship</t>
  </si>
  <si>
    <t>Slag</t>
  </si>
  <si>
    <t>WGC Bridgestone Invitational</t>
  </si>
  <si>
    <t>Putts</t>
  </si>
  <si>
    <t>RBC Canadian Open</t>
  </si>
  <si>
    <t>3x</t>
  </si>
  <si>
    <t>The Open</t>
  </si>
  <si>
    <t>John Deere Classic</t>
  </si>
  <si>
    <t>Greenbrier Classic</t>
  </si>
  <si>
    <t>AT&amp;T National</t>
  </si>
  <si>
    <t>Travelers Championship</t>
  </si>
  <si>
    <t>US Open</t>
  </si>
  <si>
    <t>FedEx St. Jude Classic</t>
  </si>
  <si>
    <t>The Memorial Tournament</t>
  </si>
  <si>
    <t>EsaTryk Miami Open</t>
  </si>
  <si>
    <t>Crowne Plaza Invitational</t>
  </si>
  <si>
    <t>HP Byron Nelson Championship</t>
  </si>
  <si>
    <t>The Players Championship</t>
  </si>
  <si>
    <t>Wells Fargo Championship</t>
  </si>
  <si>
    <t>Zürich Classic of New Orleans</t>
  </si>
  <si>
    <t>RBC Heritage</t>
  </si>
  <si>
    <t>Masters Tournament</t>
  </si>
  <si>
    <t>Valero Texas Open</t>
  </si>
  <si>
    <t>Shell Houston Open</t>
  </si>
  <si>
    <t>Arnold Palmer Invitational</t>
  </si>
  <si>
    <t>Preseason</t>
  </si>
  <si>
    <t>Start</t>
  </si>
  <si>
    <t>Præmie</t>
  </si>
  <si>
    <t>Match</t>
  </si>
  <si>
    <t>Type</t>
  </si>
  <si>
    <t>Bemærk</t>
  </si>
  <si>
    <t>Stableford</t>
  </si>
  <si>
    <t>Warm-Up</t>
  </si>
  <si>
    <t>World Golf Championships-Cadillac Championship</t>
  </si>
  <si>
    <t>Regular Season</t>
  </si>
  <si>
    <t>Ikke 18 huller</t>
  </si>
  <si>
    <t>Superrunde/Spisning</t>
  </si>
  <si>
    <t>MASTERS TOURNAMENT</t>
  </si>
  <si>
    <t>THE PLAYERS CHAMPIONSHIP</t>
  </si>
  <si>
    <t>Slagspil</t>
  </si>
  <si>
    <t xml:space="preserve">the Memorial Tournament </t>
  </si>
  <si>
    <t>U.S. OPEN</t>
  </si>
  <si>
    <t>The Greenbrier Classic</t>
  </si>
  <si>
    <t>THE OPEN CHAMPIONSHIP</t>
  </si>
  <si>
    <t>Bestball</t>
  </si>
  <si>
    <t>World Golf Championships-Bridgestone Invitational</t>
  </si>
  <si>
    <t>PGA CHAMPIONSHIP</t>
  </si>
  <si>
    <t>Fall Series</t>
  </si>
  <si>
    <t>27 huller + fest</t>
  </si>
  <si>
    <t>Tours</t>
  </si>
  <si>
    <t> ?</t>
  </si>
  <si>
    <t>2x5.000.000</t>
  </si>
  <si>
    <t>Matchkomite</t>
  </si>
  <si>
    <t>Udenbys turnering</t>
  </si>
  <si>
    <t>International Tours</t>
  </si>
  <si>
    <t>InnGolf Turkish Invitational</t>
  </si>
  <si>
    <t>Udenlands turnering</t>
  </si>
  <si>
    <t>Starttid</t>
  </si>
  <si>
    <t>Vinder</t>
  </si>
  <si>
    <t>P</t>
  </si>
  <si>
    <t>Tættest flaget</t>
  </si>
  <si>
    <t>Sløjfe</t>
  </si>
  <si>
    <t>Vinterbane</t>
  </si>
  <si>
    <t>SÅ</t>
  </si>
  <si>
    <t>ÅS</t>
  </si>
  <si>
    <t>SS</t>
  </si>
  <si>
    <t>Største</t>
  </si>
  <si>
    <t xml:space="preserve">   INNGOLF STILLING 2014 </t>
  </si>
  <si>
    <t>InnGolf Tourplan 2014</t>
  </si>
  <si>
    <t>The InnGolf Final 2014</t>
  </si>
  <si>
    <t>InnGolf Tourplan 2014 - Vindere</t>
  </si>
  <si>
    <t>The Honda Classic</t>
  </si>
  <si>
    <t>Valspar Championship</t>
  </si>
  <si>
    <t>TOUR Championship by Coca-Cola</t>
  </si>
  <si>
    <t>Ryder Cup</t>
  </si>
  <si>
    <t>Made in Denmark</t>
  </si>
  <si>
    <t>InnGolf Championship</t>
  </si>
  <si>
    <t>Inngolf PGA Tour 2014 - Torsdag den 22/5 - 18 huller Stableford - Skoven/Sletten - Blå tee</t>
  </si>
  <si>
    <t>Inngolf PGA Tour 2014 - Torsdag den 19/6 - 18 huller Sletten/Ådalen</t>
  </si>
  <si>
    <t>Inngolf PGA Tour 2014 - Torsdag den 21/8 - 18 huller Stableford - Sletten/Ådalen</t>
  </si>
  <si>
    <t>12. sæson - i alt 33 tællende turneringer</t>
  </si>
  <si>
    <t>* Fra rød tee</t>
  </si>
  <si>
    <t>* Fra blå tee</t>
  </si>
  <si>
    <t>* 5 køller</t>
  </si>
  <si>
    <t>* Hvid tee</t>
  </si>
  <si>
    <t>* Evt. Medley</t>
  </si>
  <si>
    <t>Made in Tyskland Invitational</t>
  </si>
  <si>
    <t>Poul D</t>
  </si>
  <si>
    <t>Putt 9 huller</t>
  </si>
  <si>
    <t>Skoven 5</t>
  </si>
  <si>
    <t>20/13</t>
  </si>
  <si>
    <t>Inngolf PGA Tour 2014 - Torsdag den 13/3 - 9 huller Stableford - Skoven-Sletten (Vinterbanen)</t>
  </si>
  <si>
    <t>Inngolf PGA Tour 2014 - Torsdag den 20/3 - 12 huller Stableford - Skoven-Sletten (Vinterbanen)</t>
  </si>
  <si>
    <t>13 huller</t>
  </si>
  <si>
    <t>Inngolf PGA Tour 2014 - Torsdag den 27/3 - 13 huller Stableford - Skoven/Sletten</t>
  </si>
  <si>
    <t>Jakob</t>
  </si>
  <si>
    <t>Thorkild</t>
  </si>
  <si>
    <t xml:space="preserve">Claus </t>
  </si>
  <si>
    <t>Erik</t>
  </si>
  <si>
    <t>Per</t>
  </si>
  <si>
    <t>John</t>
  </si>
  <si>
    <t>Poul</t>
  </si>
  <si>
    <t>Torben</t>
  </si>
  <si>
    <t>Morten</t>
  </si>
  <si>
    <t>Børge</t>
  </si>
  <si>
    <t>Hans Martin</t>
  </si>
  <si>
    <t>Jan</t>
  </si>
  <si>
    <t>Karsten</t>
  </si>
  <si>
    <t>Ole</t>
  </si>
  <si>
    <t>Jesper</t>
  </si>
  <si>
    <t>Robin</t>
  </si>
  <si>
    <t>Bo</t>
  </si>
  <si>
    <t>Claus</t>
  </si>
  <si>
    <t>Inngolf PGA Tour 2014 - Torsdag den 3. april - 18 huller Stableford -  Skoven/Sletten</t>
  </si>
  <si>
    <t>Skoven 8</t>
  </si>
  <si>
    <t>Sletten 9</t>
  </si>
  <si>
    <t xml:space="preserve">Bo </t>
  </si>
  <si>
    <t>Steen</t>
  </si>
  <si>
    <t>Inngolf PGA Tour 2014 - Torsdag den 10. april - 18 huller Stableford - Sletten/Ådalen</t>
  </si>
  <si>
    <t>Ådalen 2</t>
  </si>
  <si>
    <t>Medley</t>
  </si>
  <si>
    <t>* Holdspil</t>
  </si>
  <si>
    <t>Inngolf PGA Tour 2014 - Torsdag den 17. april - 18 huller Stableford - Skoven/Sletten</t>
  </si>
  <si>
    <t>Carsten</t>
  </si>
  <si>
    <t>Kristian Dam*</t>
  </si>
  <si>
    <t>Inngolf PGA Tour 2014 - Torsdag den 24/4 - 18 huller Stableford - Skoven/Sletten (Rød tee)</t>
  </si>
  <si>
    <t>Inngolf PGA Tour 2014 - Torsdag den 1/5 - 18 huller Stableford - Sletten/Ådalen</t>
  </si>
  <si>
    <t>2,92/7,90</t>
  </si>
  <si>
    <t>Sletten 4</t>
  </si>
  <si>
    <t>Ådalen 9</t>
  </si>
  <si>
    <t>Ådalen 4</t>
  </si>
  <si>
    <t>Inngolf PGA Tour 2014 - Torsdag den 8/5 - 18 huller slagspil - Ådalen/Skoven</t>
  </si>
  <si>
    <t>Inngolf PGA Tour 2014 - Torsdag den 15/5 - 18 huller Stableford - Skoven/Sletten</t>
  </si>
  <si>
    <t>Henning</t>
  </si>
  <si>
    <t>Norten</t>
  </si>
  <si>
    <t>Jens</t>
  </si>
  <si>
    <t>Martin</t>
  </si>
  <si>
    <t xml:space="preserve">Ole </t>
  </si>
  <si>
    <t>Arne*</t>
  </si>
  <si>
    <t>Inngolf PGA Tour 2014 - Torsdag den 29/5 - 18 huller Stableford - Skoven/Sletten</t>
  </si>
  <si>
    <t>Inngolf PGA Tour 2014 - Torsdag den 5/6 - 18 huller Stableford - Sletten/Ådalen</t>
  </si>
  <si>
    <t>73 slag</t>
  </si>
  <si>
    <t>36 p</t>
  </si>
  <si>
    <t>m</t>
  </si>
  <si>
    <t>4,27 m</t>
  </si>
  <si>
    <t>2,60 m</t>
  </si>
  <si>
    <t>10,23 m</t>
  </si>
  <si>
    <t>1,59 m</t>
  </si>
  <si>
    <t>8,10 m</t>
  </si>
  <si>
    <t>10,85 m</t>
  </si>
  <si>
    <t>3,56 m</t>
  </si>
  <si>
    <t>Sletten 6</t>
  </si>
  <si>
    <t>1 x TF</t>
  </si>
  <si>
    <t>2 x TF</t>
  </si>
  <si>
    <t>TF</t>
  </si>
  <si>
    <t>2/10</t>
  </si>
  <si>
    <t>25/9</t>
  </si>
  <si>
    <t>Inngolf PGA Tour 2014 - Torsdag den 12/6 - 18 huller Slagspil - Sletten/Ådalen</t>
  </si>
  <si>
    <t>Casten D</t>
  </si>
  <si>
    <t>Christian Dam</t>
  </si>
  <si>
    <t>Skærbæk M 18</t>
  </si>
  <si>
    <t>Skærbæk M 5</t>
  </si>
  <si>
    <t>Skærbæk M 8</t>
  </si>
  <si>
    <t>Skærbæk M 10</t>
  </si>
  <si>
    <t>Skærbæk M 12</t>
  </si>
  <si>
    <t>21/06 a</t>
  </si>
  <si>
    <t>21/06 b</t>
  </si>
  <si>
    <t>21/6 a</t>
  </si>
  <si>
    <t>21/6 b</t>
  </si>
  <si>
    <t>Inngolf PGA Tour 2014 - Lørdag den 21/6 eftermiddag - 18 huller Stableford - Skærbæk Mølle GK</t>
  </si>
  <si>
    <t>2xTF 1xD</t>
  </si>
  <si>
    <t>SM Golf</t>
  </si>
  <si>
    <t>Inngolf PGA Tour 2014 - Lørdag den 21/6 formiddag - 18 huller Texas Scramble - Skærbæk Mølle GK</t>
  </si>
  <si>
    <t>Quicken Loans National</t>
  </si>
  <si>
    <t>Inngolf PGA Tour 2014 - Torsdag den 26/6 - 18 huller Stableford - Skoven/Sletten</t>
  </si>
  <si>
    <t>Inngolf PGA Tour 2014 - Torsdag den 3/7 - 18 huller slagspil - Sletten/Ådalen</t>
  </si>
  <si>
    <t>Inngolf PGA Tour 2014 - Torsdag den 10/7 - 18 huller stableford - Ådalen/Skoven</t>
  </si>
  <si>
    <t>39</t>
  </si>
  <si>
    <t>40</t>
  </si>
  <si>
    <t>Inngolf PGA Tour 2014 - Torsdag den 17/7 - 18 huller Stableford - Skoven/Sletten</t>
  </si>
  <si>
    <t>38</t>
  </si>
  <si>
    <t>18,,2</t>
  </si>
  <si>
    <t>37</t>
  </si>
  <si>
    <t>Inngolf PGA Tour 2014 - Torsdag den 31/7 - 18 huller Stableford Ådalen/Skoven</t>
  </si>
  <si>
    <t>36</t>
  </si>
  <si>
    <t>Inngolf PGA Tour 2014 - Torsdag den 7/8 - 18 huller Slagspil - Skoven/Sletten</t>
  </si>
  <si>
    <t>35</t>
  </si>
  <si>
    <t>1</t>
  </si>
  <si>
    <t>Inngolf PGA Tour 2014 - Torsdag den 14/8 - 18 huller Stableford - Sletten / Ådalen</t>
  </si>
  <si>
    <t>Inngolf PGA Tour 2014 - Torsdag den 24/7 - 18 huller Stableford, Skoven/Ådalen</t>
  </si>
  <si>
    <t>42</t>
  </si>
  <si>
    <t>2</t>
  </si>
  <si>
    <t>Antal deltagere</t>
  </si>
  <si>
    <t>Inngolf PGA Tour 2014 - Torsdag den 28/8 - 18 huller Stableford - Skoven/Sletten - Hvid tee</t>
  </si>
  <si>
    <t>06/09 a</t>
  </si>
  <si>
    <t>06/09 b</t>
  </si>
  <si>
    <t>25/09</t>
  </si>
  <si>
    <t>Børge / Carsten D</t>
  </si>
  <si>
    <t>Inngolf PGA Tour 2014 - Lørdag den 6/9 eftermiddag - 18 huller Stableford, G&amp;CC Gut Bissenmoor</t>
  </si>
  <si>
    <t>41</t>
  </si>
  <si>
    <t>34</t>
  </si>
  <si>
    <t>2,72+1</t>
  </si>
  <si>
    <t>Inngolf PGA Tour 2014 - Torsdag den 4/9 - 18 huller Stableford Sletten/Ådalen</t>
  </si>
  <si>
    <t>2 x th</t>
  </si>
  <si>
    <t>DGU-nr</t>
  </si>
  <si>
    <t>Inngolf PGA Tour 2014 - Lørdag den 6/9 formiddag - 18 huller Best Ball, G&amp;CC Gut Bissenmoor</t>
  </si>
  <si>
    <t>Kristian Dam</t>
  </si>
  <si>
    <t>Arne Madsen</t>
  </si>
  <si>
    <t>DNF</t>
  </si>
  <si>
    <t xml:space="preserve">Jesper VN </t>
  </si>
  <si>
    <t>Bissenmoor 7</t>
  </si>
  <si>
    <t>Bissenmoor 4</t>
  </si>
  <si>
    <t>Bissenmoor 11</t>
  </si>
  <si>
    <t>Bissenmoor 16</t>
  </si>
  <si>
    <t>3</t>
  </si>
  <si>
    <t>4,81 +LD</t>
  </si>
  <si>
    <t>GCCGB</t>
  </si>
  <si>
    <t>Hans M</t>
  </si>
  <si>
    <t>Inngolf PGA Tour 2014 - Torsdag den 11/9 - 16 huller Stableford Sletten/Ådalen</t>
  </si>
  <si>
    <t>43</t>
  </si>
  <si>
    <t>49</t>
  </si>
  <si>
    <t>Å+SS</t>
  </si>
  <si>
    <t>Inngolf PGA Tour 2014 - Torsdag den 18/9 - 16 huller stableford Skoven/Sletten</t>
  </si>
  <si>
    <t>44</t>
  </si>
  <si>
    <t>Erk</t>
  </si>
  <si>
    <t>NR</t>
  </si>
  <si>
    <t>Inngolf PGA Tour 2014 - Torsdag den 25/9 - 13 huller stableford Sletten-Ådalen</t>
  </si>
  <si>
    <t>Inngolf PGA Tour 2014 - Torsdag den 2/10 - 14 huller stableford Ådalen-Skoven</t>
  </si>
  <si>
    <t>33</t>
  </si>
  <si>
    <t>11/10</t>
  </si>
  <si>
    <t>FINAL</t>
  </si>
  <si>
    <t>4</t>
  </si>
  <si>
    <t>45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</si>
</sst>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dd/mm"/>
    <numFmt numFmtId="174" formatCode="dd/mm/yyyy"/>
    <numFmt numFmtId="175" formatCode="[$-406]dddd\ &quot;den&quot;\ d\.\ mmmm\ yy"/>
    <numFmt numFmtId="176" formatCode="mmm/yyyy"/>
  </numFmts>
  <fonts count="90">
    <font>
      <sz val="10"/>
      <name val="Arial"/>
      <family val="0"/>
    </font>
    <font>
      <sz val="11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0"/>
      <color indexed="55"/>
      <name val="Arial"/>
      <family val="2"/>
    </font>
    <font>
      <sz val="12"/>
      <color indexed="55"/>
      <name val="Arial"/>
      <family val="2"/>
    </font>
    <font>
      <sz val="12"/>
      <color indexed="9"/>
      <name val="Arial"/>
      <family val="2"/>
    </font>
    <font>
      <i/>
      <sz val="10"/>
      <color indexed="22"/>
      <name val="Arial"/>
      <family val="2"/>
    </font>
    <font>
      <sz val="10"/>
      <color indexed="22"/>
      <name val="Arial"/>
      <family val="2"/>
    </font>
    <font>
      <sz val="10"/>
      <color indexed="8"/>
      <name val="Arial"/>
      <family val="2"/>
    </font>
    <font>
      <b/>
      <sz val="16"/>
      <color indexed="22"/>
      <name val="Arial"/>
      <family val="2"/>
    </font>
    <font>
      <b/>
      <sz val="16"/>
      <color indexed="8"/>
      <name val="Arial"/>
      <family val="2"/>
    </font>
    <font>
      <sz val="10"/>
      <color indexed="10"/>
      <name val="Arial"/>
      <family val="2"/>
    </font>
    <font>
      <sz val="12"/>
      <color indexed="22"/>
      <name val="Arial"/>
      <family val="2"/>
    </font>
    <font>
      <sz val="12"/>
      <color indexed="8"/>
      <name val="Arial"/>
      <family val="2"/>
    </font>
    <font>
      <sz val="9"/>
      <color indexed="22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0"/>
    </font>
    <font>
      <b/>
      <sz val="12"/>
      <color indexed="10"/>
      <name val="Arial"/>
      <family val="2"/>
    </font>
    <font>
      <sz val="8"/>
      <color indexed="55"/>
      <name val="Arial"/>
      <family val="2"/>
    </font>
    <font>
      <sz val="8"/>
      <name val="Verdana"/>
      <family val="0"/>
    </font>
    <font>
      <sz val="10"/>
      <name val="Verdana"/>
      <family val="0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4"/>
      <name val="Arial"/>
      <family val="2"/>
    </font>
    <font>
      <b/>
      <sz val="26"/>
      <name val="Arial"/>
      <family val="2"/>
    </font>
    <font>
      <sz val="11"/>
      <color indexed="9"/>
      <name val="Arial"/>
      <family val="2"/>
    </font>
    <font>
      <sz val="11"/>
      <color indexed="55"/>
      <name val="Arial"/>
      <family val="2"/>
    </font>
    <font>
      <sz val="11"/>
      <color indexed="22"/>
      <name val="Arial"/>
      <family val="2"/>
    </font>
    <font>
      <b/>
      <sz val="22"/>
      <color indexed="62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8"/>
      <name val="Arial"/>
      <family val="0"/>
    </font>
    <font>
      <i/>
      <sz val="12"/>
      <color indexed="8"/>
      <name val="Calibri"/>
      <family val="0"/>
    </font>
    <font>
      <b/>
      <sz val="12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2"/>
      <name val="Arial"/>
      <family val="0"/>
    </font>
    <font>
      <b/>
      <sz val="22"/>
      <color indexed="17"/>
      <name val="Calibri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0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2"/>
      <color theme="0"/>
      <name val="Calibri"/>
      <family val="2"/>
    </font>
    <font>
      <sz val="11"/>
      <color theme="0" tint="-0.3499799966812134"/>
      <name val="Arial"/>
      <family val="0"/>
    </font>
    <font>
      <sz val="10"/>
      <color theme="10"/>
      <name val="Arial"/>
      <family val="0"/>
    </font>
    <font>
      <sz val="11"/>
      <color rgb="FF969696"/>
      <name val="Arial"/>
      <family val="2"/>
    </font>
    <font>
      <b/>
      <sz val="22"/>
      <color rgb="FF008000"/>
      <name val="Calibri"/>
      <family val="0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008000"/>
        <bgColor indexed="64"/>
      </patternFill>
    </fill>
  </fills>
  <borders count="6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>
        <color rgb="FF000000"/>
      </top>
      <bottom style="thin"/>
    </border>
    <border>
      <left>
        <color indexed="63"/>
      </left>
      <right style="thin"/>
      <top style="thin">
        <color rgb="FF00000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0" applyNumberFormat="0" applyFill="0" applyBorder="0" applyAlignment="0" applyProtection="0"/>
    <xf numFmtId="168" fontId="0" fillId="0" borderId="0" applyFill="0" applyBorder="0" applyAlignment="0" applyProtection="0"/>
    <xf numFmtId="0" fontId="0" fillId="20" borderId="1" applyNumberFormat="0" applyFont="0" applyAlignment="0" applyProtection="0"/>
    <xf numFmtId="0" fontId="67" fillId="21" borderId="2" applyNumberFormat="0" applyAlignment="0" applyProtection="0"/>
    <xf numFmtId="0" fontId="68" fillId="0" borderId="0" applyNumberFormat="0" applyFill="0" applyBorder="0" applyAlignment="0" applyProtection="0"/>
    <xf numFmtId="0" fontId="69" fillId="22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3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4" borderId="2" applyNumberFormat="0" applyAlignment="0" applyProtection="0"/>
    <xf numFmtId="0" fontId="74" fillId="25" borderId="3" applyNumberFormat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75" fillId="32" borderId="0" applyNumberFormat="0" applyBorder="0" applyAlignment="0" applyProtection="0"/>
    <xf numFmtId="0" fontId="0" fillId="0" borderId="0">
      <alignment/>
      <protection/>
    </xf>
    <xf numFmtId="0" fontId="76" fillId="21" borderId="4" applyNumberFormat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9" fontId="0" fillId="0" borderId="0" applyFill="0" applyBorder="0" applyAlignment="0" applyProtection="0"/>
    <xf numFmtId="0" fontId="80" fillId="0" borderId="8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9" applyNumberFormat="0" applyFill="0" applyAlignment="0" applyProtection="0"/>
    <xf numFmtId="170" fontId="0" fillId="0" borderId="0" applyFill="0" applyBorder="0" applyAlignment="0" applyProtection="0"/>
  </cellStyleXfs>
  <cellXfs count="4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left"/>
    </xf>
    <xf numFmtId="1" fontId="5" fillId="0" borderId="1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3" fontId="5" fillId="0" borderId="11" xfId="0" applyNumberFormat="1" applyFont="1" applyFill="1" applyBorder="1" applyAlignment="1">
      <alignment wrapText="1"/>
    </xf>
    <xf numFmtId="3" fontId="5" fillId="0" borderId="12" xfId="0" applyNumberFormat="1" applyFont="1" applyFill="1" applyBorder="1" applyAlignment="1">
      <alignment wrapText="1"/>
    </xf>
    <xf numFmtId="0" fontId="5" fillId="0" borderId="11" xfId="0" applyFont="1" applyBorder="1" applyAlignment="1">
      <alignment horizontal="left"/>
    </xf>
    <xf numFmtId="2" fontId="5" fillId="0" borderId="1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left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1" fontId="0" fillId="0" borderId="15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3" fontId="0" fillId="0" borderId="14" xfId="0" applyNumberFormat="1" applyFont="1" applyFill="1" applyBorder="1" applyAlignment="1">
      <alignment wrapText="1"/>
    </xf>
    <xf numFmtId="3" fontId="0" fillId="0" borderId="15" xfId="0" applyNumberFormat="1" applyFont="1" applyFill="1" applyBorder="1" applyAlignment="1">
      <alignment wrapText="1"/>
    </xf>
    <xf numFmtId="0" fontId="0" fillId="0" borderId="14" xfId="0" applyFont="1" applyBorder="1" applyAlignment="1">
      <alignment horizontal="left"/>
    </xf>
    <xf numFmtId="2" fontId="0" fillId="0" borderId="15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/>
    </xf>
    <xf numFmtId="1" fontId="0" fillId="0" borderId="18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3" fontId="0" fillId="0" borderId="17" xfId="0" applyNumberFormat="1" applyFont="1" applyFill="1" applyBorder="1" applyAlignment="1">
      <alignment wrapText="1"/>
    </xf>
    <xf numFmtId="3" fontId="0" fillId="0" borderId="18" xfId="0" applyNumberFormat="1" applyFont="1" applyFill="1" applyBorder="1" applyAlignment="1">
      <alignment wrapText="1"/>
    </xf>
    <xf numFmtId="0" fontId="0" fillId="0" borderId="17" xfId="0" applyFont="1" applyBorder="1" applyAlignment="1">
      <alignment horizontal="left"/>
    </xf>
    <xf numFmtId="2" fontId="0" fillId="0" borderId="18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1" fontId="0" fillId="0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3" fontId="0" fillId="0" borderId="19" xfId="0" applyNumberFormat="1" applyFont="1" applyFill="1" applyBorder="1" applyAlignment="1">
      <alignment wrapText="1"/>
    </xf>
    <xf numFmtId="0" fontId="0" fillId="0" borderId="19" xfId="0" applyFont="1" applyBorder="1" applyAlignment="1">
      <alignment horizontal="left"/>
    </xf>
    <xf numFmtId="2" fontId="0" fillId="0" borderId="19" xfId="0" applyNumberFormat="1" applyFont="1" applyBorder="1" applyAlignment="1">
      <alignment horizontal="center"/>
    </xf>
    <xf numFmtId="1" fontId="0" fillId="0" borderId="19" xfId="0" applyNumberFormat="1" applyFont="1" applyBorder="1" applyAlignment="1">
      <alignment horizontal="left"/>
    </xf>
    <xf numFmtId="0" fontId="0" fillId="0" borderId="14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left"/>
    </xf>
    <xf numFmtId="2" fontId="5" fillId="0" borderId="14" xfId="0" applyNumberFormat="1" applyFont="1" applyBorder="1" applyAlignment="1">
      <alignment horizontal="left"/>
    </xf>
    <xf numFmtId="0" fontId="0" fillId="0" borderId="1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left"/>
    </xf>
    <xf numFmtId="2" fontId="0" fillId="0" borderId="14" xfId="0" applyNumberFormat="1" applyFont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 indent="1"/>
    </xf>
    <xf numFmtId="172" fontId="8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/>
      <protection locked="0"/>
    </xf>
    <xf numFmtId="3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textRotation="90"/>
      <protection locked="0"/>
    </xf>
    <xf numFmtId="49" fontId="3" fillId="0" borderId="0" xfId="0" applyNumberFormat="1" applyFont="1" applyBorder="1" applyAlignment="1" applyProtection="1">
      <alignment textRotation="90"/>
      <protection/>
    </xf>
    <xf numFmtId="49" fontId="3" fillId="33" borderId="14" xfId="0" applyNumberFormat="1" applyFont="1" applyFill="1" applyBorder="1" applyAlignment="1" applyProtection="1">
      <alignment horizontal="center" textRotation="90"/>
      <protection locked="0"/>
    </xf>
    <xf numFmtId="49" fontId="0" fillId="33" borderId="14" xfId="0" applyNumberFormat="1" applyFont="1" applyFill="1" applyBorder="1" applyAlignment="1" applyProtection="1">
      <alignment horizontal="center" textRotation="90"/>
      <protection/>
    </xf>
    <xf numFmtId="49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49" fontId="3" fillId="33" borderId="20" xfId="0" applyNumberFormat="1" applyFont="1" applyFill="1" applyBorder="1" applyAlignment="1" applyProtection="1">
      <alignment horizontal="center" textRotation="90"/>
      <protection locked="0"/>
    </xf>
    <xf numFmtId="173" fontId="0" fillId="33" borderId="20" xfId="0" applyNumberFormat="1" applyFont="1" applyFill="1" applyBorder="1" applyAlignment="1" applyProtection="1">
      <alignment horizontal="center" textRotation="90"/>
      <protection/>
    </xf>
    <xf numFmtId="49" fontId="13" fillId="33" borderId="20" xfId="0" applyNumberFormat="1" applyFont="1" applyFill="1" applyBorder="1" applyAlignment="1" applyProtection="1">
      <alignment horizontal="center" textRotation="90"/>
      <protection/>
    </xf>
    <xf numFmtId="49" fontId="3" fillId="0" borderId="0" xfId="0" applyNumberFormat="1" applyFont="1" applyBorder="1" applyAlignment="1" applyProtection="1">
      <alignment textRotation="90"/>
      <protection locked="0"/>
    </xf>
    <xf numFmtId="0" fontId="3" fillId="0" borderId="0" xfId="0" applyFont="1" applyBorder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1" fontId="12" fillId="0" borderId="0" xfId="0" applyNumberFormat="1" applyFont="1" applyAlignment="1" applyProtection="1">
      <alignment horizontal="center"/>
      <protection locked="0"/>
    </xf>
    <xf numFmtId="1" fontId="13" fillId="0" borderId="0" xfId="0" applyNumberFormat="1" applyFont="1" applyAlignment="1" applyProtection="1">
      <alignment horizontal="center"/>
      <protection locked="0"/>
    </xf>
    <xf numFmtId="3" fontId="22" fillId="0" borderId="0" xfId="0" applyNumberFormat="1" applyFont="1" applyAlignment="1" applyProtection="1">
      <alignment horizontal="left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2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2" fontId="3" fillId="33" borderId="14" xfId="0" applyNumberFormat="1" applyFont="1" applyFill="1" applyBorder="1" applyAlignment="1" applyProtection="1">
      <alignment horizontal="center" textRotation="90"/>
      <protection locked="0"/>
    </xf>
    <xf numFmtId="49" fontId="22" fillId="0" borderId="0" xfId="0" applyNumberFormat="1" applyFont="1" applyAlignment="1" applyProtection="1">
      <alignment textRotation="90"/>
      <protection locked="0"/>
    </xf>
    <xf numFmtId="1" fontId="0" fillId="0" borderId="14" xfId="0" applyNumberFormat="1" applyFont="1" applyBorder="1" applyAlignment="1" applyProtection="1">
      <alignment/>
      <protection locked="0"/>
    </xf>
    <xf numFmtId="1" fontId="8" fillId="0" borderId="14" xfId="0" applyNumberFormat="1" applyFont="1" applyBorder="1" applyAlignment="1" applyProtection="1">
      <alignment/>
      <protection locked="0"/>
    </xf>
    <xf numFmtId="1" fontId="2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1" fontId="3" fillId="0" borderId="0" xfId="0" applyNumberFormat="1" applyFont="1" applyBorder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1" fontId="3" fillId="0" borderId="0" xfId="0" applyNumberFormat="1" applyFont="1" applyBorder="1" applyAlignment="1" applyProtection="1">
      <alignment horizontal="center"/>
      <protection locked="0"/>
    </xf>
    <xf numFmtId="16" fontId="3" fillId="0" borderId="0" xfId="0" applyNumberFormat="1" applyFont="1" applyBorder="1" applyAlignment="1" applyProtection="1">
      <alignment horizontal="center"/>
      <protection locked="0"/>
    </xf>
    <xf numFmtId="2" fontId="3" fillId="33" borderId="20" xfId="0" applyNumberFormat="1" applyFont="1" applyFill="1" applyBorder="1" applyAlignment="1" applyProtection="1">
      <alignment horizontal="center" textRotation="90"/>
      <protection locked="0"/>
    </xf>
    <xf numFmtId="49" fontId="3" fillId="0" borderId="0" xfId="0" applyNumberFormat="1" applyFont="1" applyBorder="1" applyAlignment="1" applyProtection="1">
      <alignment horizontal="center" textRotation="90"/>
      <protection locked="0"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24" fillId="0" borderId="0" xfId="0" applyFont="1" applyAlignment="1">
      <alignment/>
    </xf>
    <xf numFmtId="0" fontId="27" fillId="0" borderId="0" xfId="0" applyFont="1" applyAlignment="1">
      <alignment/>
    </xf>
    <xf numFmtId="0" fontId="24" fillId="0" borderId="14" xfId="0" applyFont="1" applyBorder="1" applyAlignment="1">
      <alignment horizontal="center"/>
    </xf>
    <xf numFmtId="0" fontId="24" fillId="0" borderId="14" xfId="0" applyFont="1" applyBorder="1" applyAlignment="1">
      <alignment horizontal="left"/>
    </xf>
    <xf numFmtId="3" fontId="24" fillId="0" borderId="14" xfId="0" applyNumberFormat="1" applyFont="1" applyBorder="1" applyAlignment="1">
      <alignment horizontal="center"/>
    </xf>
    <xf numFmtId="3" fontId="24" fillId="0" borderId="14" xfId="0" applyNumberFormat="1" applyFont="1" applyBorder="1" applyAlignment="1">
      <alignment/>
    </xf>
    <xf numFmtId="3" fontId="24" fillId="0" borderId="14" xfId="0" applyNumberFormat="1" applyFont="1" applyBorder="1" applyAlignment="1">
      <alignment horizontal="right" wrapText="1"/>
    </xf>
    <xf numFmtId="2" fontId="24" fillId="0" borderId="14" xfId="0" applyNumberFormat="1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7" xfId="0" applyFont="1" applyBorder="1" applyAlignment="1">
      <alignment horizontal="left"/>
    </xf>
    <xf numFmtId="3" fontId="24" fillId="0" borderId="17" xfId="0" applyNumberFormat="1" applyFont="1" applyBorder="1" applyAlignment="1">
      <alignment horizontal="center"/>
    </xf>
    <xf numFmtId="3" fontId="24" fillId="0" borderId="17" xfId="0" applyNumberFormat="1" applyFont="1" applyBorder="1" applyAlignment="1">
      <alignment/>
    </xf>
    <xf numFmtId="3" fontId="24" fillId="0" borderId="17" xfId="0" applyNumberFormat="1" applyFont="1" applyBorder="1" applyAlignment="1">
      <alignment horizontal="right" wrapText="1"/>
    </xf>
    <xf numFmtId="2" fontId="24" fillId="0" borderId="17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19" xfId="0" applyFont="1" applyBorder="1" applyAlignment="1">
      <alignment horizontal="left"/>
    </xf>
    <xf numFmtId="3" fontId="24" fillId="0" borderId="19" xfId="0" applyNumberFormat="1" applyFont="1" applyBorder="1" applyAlignment="1">
      <alignment horizontal="center"/>
    </xf>
    <xf numFmtId="3" fontId="24" fillId="0" borderId="19" xfId="0" applyNumberFormat="1" applyFont="1" applyBorder="1" applyAlignment="1">
      <alignment/>
    </xf>
    <xf numFmtId="3" fontId="24" fillId="0" borderId="19" xfId="0" applyNumberFormat="1" applyFont="1" applyBorder="1" applyAlignment="1">
      <alignment horizontal="right" wrapText="1"/>
    </xf>
    <xf numFmtId="2" fontId="24" fillId="0" borderId="19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2" fontId="24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1" fontId="28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1" fillId="34" borderId="14" xfId="0" applyFont="1" applyFill="1" applyBorder="1" applyAlignment="1">
      <alignment horizontal="left" wrapText="1"/>
    </xf>
    <xf numFmtId="0" fontId="21" fillId="34" borderId="14" xfId="0" applyFont="1" applyFill="1" applyBorder="1" applyAlignment="1">
      <alignment horizontal="center" wrapText="1"/>
    </xf>
    <xf numFmtId="0" fontId="21" fillId="34" borderId="21" xfId="0" applyFont="1" applyFill="1" applyBorder="1" applyAlignment="1">
      <alignment horizontal="center" wrapText="1"/>
    </xf>
    <xf numFmtId="0" fontId="21" fillId="34" borderId="22" xfId="0" applyFont="1" applyFill="1" applyBorder="1" applyAlignment="1">
      <alignment horizontal="center" wrapText="1"/>
    </xf>
    <xf numFmtId="0" fontId="21" fillId="34" borderId="23" xfId="0" applyFont="1" applyFill="1" applyBorder="1" applyAlignment="1">
      <alignment horizontal="center" wrapText="1"/>
    </xf>
    <xf numFmtId="0" fontId="21" fillId="34" borderId="24" xfId="0" applyFont="1" applyFill="1" applyBorder="1" applyAlignment="1">
      <alignment wrapText="1"/>
    </xf>
    <xf numFmtId="1" fontId="30" fillId="34" borderId="24" xfId="0" applyNumberFormat="1" applyFont="1" applyFill="1" applyBorder="1" applyAlignment="1">
      <alignment horizontal="left" vertical="center"/>
    </xf>
    <xf numFmtId="1" fontId="30" fillId="34" borderId="25" xfId="0" applyNumberFormat="1" applyFont="1" applyFill="1" applyBorder="1" applyAlignment="1">
      <alignment horizontal="center" vertical="center"/>
    </xf>
    <xf numFmtId="1" fontId="30" fillId="34" borderId="23" xfId="0" applyNumberFormat="1" applyFont="1" applyFill="1" applyBorder="1" applyAlignment="1">
      <alignment horizontal="center" vertical="center"/>
    </xf>
    <xf numFmtId="0" fontId="30" fillId="34" borderId="23" xfId="0" applyFont="1" applyFill="1" applyBorder="1" applyAlignment="1">
      <alignment horizontal="center" vertical="center"/>
    </xf>
    <xf numFmtId="0" fontId="30" fillId="34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" fontId="3" fillId="0" borderId="0" xfId="0" applyNumberFormat="1" applyFont="1" applyFill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1" fontId="30" fillId="0" borderId="0" xfId="0" applyNumberFormat="1" applyFont="1" applyFill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/>
    </xf>
    <xf numFmtId="1" fontId="7" fillId="0" borderId="25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indent="1"/>
    </xf>
    <xf numFmtId="0" fontId="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3" fontId="7" fillId="0" borderId="14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0" fontId="7" fillId="0" borderId="27" xfId="0" applyFont="1" applyBorder="1" applyAlignment="1">
      <alignment horizontal="left" vertical="center"/>
    </xf>
    <xf numFmtId="0" fontId="1" fillId="0" borderId="27" xfId="0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172" fontId="31" fillId="0" borderId="14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29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2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/>
    </xf>
    <xf numFmtId="172" fontId="3" fillId="0" borderId="0" xfId="0" applyNumberFormat="1" applyFont="1" applyFill="1" applyAlignment="1">
      <alignment vertical="center"/>
    </xf>
    <xf numFmtId="0" fontId="21" fillId="34" borderId="14" xfId="0" applyFont="1" applyFill="1" applyBorder="1" applyAlignment="1">
      <alignment horizontal="left" vertical="center" wrapText="1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21" xfId="0" applyFont="1" applyFill="1" applyBorder="1" applyAlignment="1">
      <alignment horizontal="center" vertical="center" wrapText="1"/>
    </xf>
    <xf numFmtId="0" fontId="21" fillId="34" borderId="22" xfId="0" applyFont="1" applyFill="1" applyBorder="1" applyAlignment="1">
      <alignment horizontal="center" vertical="center" wrapText="1"/>
    </xf>
    <xf numFmtId="0" fontId="21" fillId="34" borderId="23" xfId="0" applyFont="1" applyFill="1" applyBorder="1" applyAlignment="1">
      <alignment horizontal="center" vertical="center" wrapText="1"/>
    </xf>
    <xf numFmtId="0" fontId="21" fillId="34" borderId="24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8" fillId="0" borderId="0" xfId="0" applyFont="1" applyAlignment="1">
      <alignment horizontal="center"/>
    </xf>
    <xf numFmtId="16" fontId="36" fillId="0" borderId="0" xfId="0" applyNumberFormat="1" applyFont="1" applyAlignment="1">
      <alignment horizontal="center"/>
    </xf>
    <xf numFmtId="20" fontId="36" fillId="0" borderId="0" xfId="0" applyNumberFormat="1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/>
    </xf>
    <xf numFmtId="20" fontId="36" fillId="0" borderId="0" xfId="0" applyNumberFormat="1" applyFont="1" applyAlignment="1">
      <alignment horizontal="center"/>
    </xf>
    <xf numFmtId="3" fontId="36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16" fontId="38" fillId="0" borderId="0" xfId="0" applyNumberFormat="1" applyFont="1" applyAlignment="1">
      <alignment horizontal="center"/>
    </xf>
    <xf numFmtId="3" fontId="3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1" fillId="0" borderId="19" xfId="0" applyFont="1" applyFill="1" applyBorder="1" applyAlignment="1">
      <alignment horizontal="left" vertical="center" wrapText="1" indent="1"/>
    </xf>
    <xf numFmtId="1" fontId="83" fillId="0" borderId="14" xfId="0" applyNumberFormat="1" applyFont="1" applyFill="1" applyBorder="1" applyAlignment="1" applyProtection="1" quotePrefix="1">
      <alignment horizontal="center" vertical="center" wrapText="1"/>
      <protection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vertical="center"/>
      <protection locked="0"/>
    </xf>
    <xf numFmtId="0" fontId="18" fillId="0" borderId="14" xfId="0" applyFont="1" applyBorder="1" applyAlignment="1" applyProtection="1">
      <alignment vertical="center"/>
      <protection locked="0"/>
    </xf>
    <xf numFmtId="1" fontId="84" fillId="0" borderId="14" xfId="0" applyNumberFormat="1" applyFont="1" applyFill="1" applyBorder="1" applyAlignment="1" applyProtection="1">
      <alignment horizontal="center" vertical="center" wrapText="1"/>
      <protection/>
    </xf>
    <xf numFmtId="3" fontId="5" fillId="0" borderId="19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 quotePrefix="1">
      <alignment horizontal="center" vertical="center" wrapText="1"/>
      <protection/>
    </xf>
    <xf numFmtId="3" fontId="16" fillId="0" borderId="14" xfId="0" applyNumberFormat="1" applyFont="1" applyFill="1" applyBorder="1" applyAlignment="1" applyProtection="1">
      <alignment horizontal="center" vertical="center" wrapText="1"/>
      <protection/>
    </xf>
    <xf numFmtId="3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30" xfId="0" applyFont="1" applyFill="1" applyBorder="1" applyAlignment="1">
      <alignment horizontal="left" vertical="center" wrapText="1" indent="1"/>
    </xf>
    <xf numFmtId="3" fontId="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>
      <alignment horizontal="left" vertical="center" wrapText="1" indent="1"/>
    </xf>
    <xf numFmtId="3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Font="1" applyFill="1" applyBorder="1" applyAlignment="1">
      <alignment horizontal="left" vertical="center" wrapText="1" indent="1"/>
    </xf>
    <xf numFmtId="3" fontId="5" fillId="0" borderId="35" xfId="0" applyNumberFormat="1" applyFont="1" applyFill="1" applyBorder="1" applyAlignment="1" applyProtection="1">
      <alignment horizontal="center" vertical="center" wrapText="1"/>
      <protection/>
    </xf>
    <xf numFmtId="3" fontId="5" fillId="0" borderId="31" xfId="0" applyNumberFormat="1" applyFont="1" applyFill="1" applyBorder="1" applyAlignment="1" applyProtection="1">
      <alignment horizontal="right" vertical="center" wrapText="1" indent="2"/>
      <protection/>
    </xf>
    <xf numFmtId="3" fontId="0" fillId="0" borderId="23" xfId="0" applyNumberFormat="1" applyFont="1" applyFill="1" applyBorder="1" applyAlignment="1" applyProtection="1">
      <alignment horizontal="righ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9" fillId="0" borderId="14" xfId="0" applyFont="1" applyBorder="1" applyAlignment="1" applyProtection="1">
      <alignment horizontal="center" vertical="center"/>
      <protection locked="0"/>
    </xf>
    <xf numFmtId="3" fontId="5" fillId="0" borderId="33" xfId="0" applyNumberFormat="1" applyFont="1" applyFill="1" applyBorder="1" applyAlignment="1" applyProtection="1">
      <alignment horizontal="right" vertical="center" wrapText="1" indent="2"/>
      <protection/>
    </xf>
    <xf numFmtId="3" fontId="0" fillId="0" borderId="14" xfId="0" applyNumberFormat="1" applyFont="1" applyBorder="1" applyAlignment="1" applyProtection="1">
      <alignment vertical="center"/>
      <protection locked="0"/>
    </xf>
    <xf numFmtId="3" fontId="5" fillId="0" borderId="35" xfId="0" applyNumberFormat="1" applyFont="1" applyFill="1" applyBorder="1" applyAlignment="1" applyProtection="1">
      <alignment horizontal="right" vertical="center" wrapText="1" indent="2"/>
      <protection/>
    </xf>
    <xf numFmtId="3" fontId="5" fillId="0" borderId="19" xfId="0" applyNumberFormat="1" applyFont="1" applyFill="1" applyBorder="1" applyAlignment="1" applyProtection="1">
      <alignment horizontal="right" vertical="center" wrapText="1" indent="2"/>
      <protection/>
    </xf>
    <xf numFmtId="3" fontId="0" fillId="0" borderId="0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Fill="1" applyBorder="1" applyAlignment="1" applyProtection="1">
      <alignment horizontal="right" vertical="center" wrapText="1" indent="2"/>
      <protection/>
    </xf>
    <xf numFmtId="0" fontId="3" fillId="0" borderId="0" xfId="0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horizontal="center" vertical="center"/>
      <protection locked="0"/>
    </xf>
    <xf numFmtId="0" fontId="1" fillId="0" borderId="36" xfId="0" applyFont="1" applyFill="1" applyBorder="1" applyAlignment="1">
      <alignment horizontal="left" vertical="center" wrapText="1" indent="1"/>
    </xf>
    <xf numFmtId="2" fontId="5" fillId="0" borderId="36" xfId="0" applyNumberFormat="1" applyFont="1" applyFill="1" applyBorder="1" applyAlignment="1" applyProtection="1">
      <alignment horizontal="center" wrapText="1"/>
      <protection/>
    </xf>
    <xf numFmtId="1" fontId="0" fillId="0" borderId="36" xfId="0" applyNumberFormat="1" applyFont="1" applyFill="1" applyBorder="1" applyAlignment="1" applyProtection="1">
      <alignment horizontal="center" wrapText="1"/>
      <protection/>
    </xf>
    <xf numFmtId="0" fontId="1" fillId="0" borderId="37" xfId="0" applyFont="1" applyFill="1" applyBorder="1" applyAlignment="1">
      <alignment horizontal="left" vertical="center" wrapText="1" indent="1"/>
    </xf>
    <xf numFmtId="2" fontId="5" fillId="0" borderId="37" xfId="0" applyNumberFormat="1" applyFont="1" applyFill="1" applyBorder="1" applyAlignment="1" applyProtection="1">
      <alignment horizontal="center" wrapText="1"/>
      <protection/>
    </xf>
    <xf numFmtId="1" fontId="0" fillId="0" borderId="37" xfId="0" applyNumberFormat="1" applyFont="1" applyFill="1" applyBorder="1" applyAlignment="1" applyProtection="1">
      <alignment horizontal="center" wrapText="1"/>
      <protection/>
    </xf>
    <xf numFmtId="1" fontId="0" fillId="0" borderId="38" xfId="0" applyNumberFormat="1" applyFont="1" applyFill="1" applyBorder="1" applyAlignment="1" applyProtection="1">
      <alignment horizontal="center" wrapText="1"/>
      <protection/>
    </xf>
    <xf numFmtId="1" fontId="0" fillId="0" borderId="30" xfId="0" applyNumberFormat="1" applyFont="1" applyFill="1" applyBorder="1" applyAlignment="1" applyProtection="1">
      <alignment horizontal="center" wrapText="1"/>
      <protection/>
    </xf>
    <xf numFmtId="173" fontId="0" fillId="33" borderId="14" xfId="0" applyNumberFormat="1" applyFont="1" applyFill="1" applyBorder="1" applyAlignment="1" applyProtection="1">
      <alignment horizontal="center" textRotation="90"/>
      <protection/>
    </xf>
    <xf numFmtId="16" fontId="36" fillId="0" borderId="39" xfId="0" applyNumberFormat="1" applyFont="1" applyBorder="1" applyAlignment="1">
      <alignment horizontal="center"/>
    </xf>
    <xf numFmtId="20" fontId="36" fillId="0" borderId="39" xfId="0" applyNumberFormat="1" applyFont="1" applyBorder="1" applyAlignment="1">
      <alignment horizontal="center"/>
    </xf>
    <xf numFmtId="3" fontId="36" fillId="0" borderId="39" xfId="0" applyNumberFormat="1" applyFont="1" applyBorder="1" applyAlignment="1">
      <alignment horizontal="center"/>
    </xf>
    <xf numFmtId="0" fontId="36" fillId="0" borderId="39" xfId="0" applyFont="1" applyBorder="1" applyAlignment="1">
      <alignment/>
    </xf>
    <xf numFmtId="0" fontId="36" fillId="0" borderId="39" xfId="0" applyFont="1" applyBorder="1" applyAlignment="1">
      <alignment horizontal="center"/>
    </xf>
    <xf numFmtId="0" fontId="40" fillId="0" borderId="0" xfId="0" applyFont="1" applyAlignment="1">
      <alignment/>
    </xf>
    <xf numFmtId="0" fontId="85" fillId="35" borderId="0" xfId="0" applyFont="1" applyFill="1" applyAlignment="1">
      <alignment horizontal="center"/>
    </xf>
    <xf numFmtId="0" fontId="1" fillId="0" borderId="40" xfId="0" applyFont="1" applyBorder="1" applyAlignment="1">
      <alignment horizontal="center" vertical="center"/>
    </xf>
    <xf numFmtId="0" fontId="1" fillId="0" borderId="40" xfId="0" applyFont="1" applyFill="1" applyBorder="1" applyAlignment="1">
      <alignment horizontal="left" vertical="center" wrapText="1" indent="1"/>
    </xf>
    <xf numFmtId="172" fontId="8" fillId="0" borderId="40" xfId="0" applyNumberFormat="1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/>
    </xf>
    <xf numFmtId="172" fontId="8" fillId="0" borderId="3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6" fillId="0" borderId="36" xfId="0" applyFont="1" applyBorder="1" applyAlignment="1">
      <alignment horizontal="center" vertical="center"/>
    </xf>
    <xf numFmtId="0" fontId="86" fillId="0" borderId="36" xfId="0" applyFont="1" applyFill="1" applyBorder="1" applyAlignment="1">
      <alignment horizontal="left" vertical="center" wrapText="1" indent="1"/>
    </xf>
    <xf numFmtId="0" fontId="87" fillId="0" borderId="0" xfId="43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1" fontId="3" fillId="0" borderId="39" xfId="0" applyNumberFormat="1" applyFont="1" applyBorder="1" applyAlignment="1" applyProtection="1">
      <alignment textRotation="90"/>
      <protection locked="0"/>
    </xf>
    <xf numFmtId="2" fontId="3" fillId="33" borderId="41" xfId="0" applyNumberFormat="1" applyFont="1" applyFill="1" applyBorder="1" applyAlignment="1" applyProtection="1">
      <alignment horizontal="center" textRotation="90"/>
      <protection locked="0"/>
    </xf>
    <xf numFmtId="1" fontId="3" fillId="33" borderId="41" xfId="0" applyNumberFormat="1" applyFont="1" applyFill="1" applyBorder="1" applyAlignment="1" applyProtection="1">
      <alignment horizontal="center" textRotation="90"/>
      <protection locked="0"/>
    </xf>
    <xf numFmtId="16" fontId="3" fillId="33" borderId="41" xfId="0" applyNumberFormat="1" applyFont="1" applyFill="1" applyBorder="1" applyAlignment="1" applyProtection="1">
      <alignment horizontal="center" textRotation="90"/>
      <protection locked="0"/>
    </xf>
    <xf numFmtId="1" fontId="0" fillId="0" borderId="0" xfId="0" applyNumberFormat="1" applyFont="1" applyAlignment="1">
      <alignment vertical="center"/>
    </xf>
    <xf numFmtId="1" fontId="0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 vertical="center"/>
    </xf>
    <xf numFmtId="1" fontId="0" fillId="0" borderId="0" xfId="0" applyNumberFormat="1" applyFont="1" applyAlignment="1">
      <alignment/>
    </xf>
    <xf numFmtId="1" fontId="0" fillId="0" borderId="42" xfId="0" applyNumberFormat="1" applyFont="1" applyBorder="1" applyAlignment="1" applyProtection="1">
      <alignment horizontal="center" vertical="center"/>
      <protection locked="0"/>
    </xf>
    <xf numFmtId="2" fontId="5" fillId="0" borderId="36" xfId="0" applyNumberFormat="1" applyFont="1" applyBorder="1" applyAlignment="1" applyProtection="1">
      <alignment horizontal="center" vertical="center"/>
      <protection locked="0"/>
    </xf>
    <xf numFmtId="2" fontId="5" fillId="0" borderId="42" xfId="0" applyNumberFormat="1" applyFont="1" applyBorder="1" applyAlignment="1" applyProtection="1">
      <alignment horizontal="center" vertical="center"/>
      <protection locked="0"/>
    </xf>
    <xf numFmtId="16" fontId="0" fillId="0" borderId="42" xfId="0" applyNumberFormat="1" applyFont="1" applyBorder="1" applyAlignment="1" applyProtection="1">
      <alignment horizontal="center" vertical="center"/>
      <protection locked="0"/>
    </xf>
    <xf numFmtId="1" fontId="0" fillId="0" borderId="36" xfId="0" applyNumberFormat="1" applyFont="1" applyBorder="1" applyAlignment="1" applyProtection="1">
      <alignment horizontal="center" vertical="center"/>
      <protection locked="0"/>
    </xf>
    <xf numFmtId="16" fontId="0" fillId="0" borderId="36" xfId="0" applyNumberFormat="1" applyFont="1" applyBorder="1" applyAlignment="1" applyProtection="1">
      <alignment horizontal="center" vertical="center"/>
      <protection locked="0"/>
    </xf>
    <xf numFmtId="2" fontId="5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6" fontId="0" fillId="0" borderId="14" xfId="0" applyNumberFormat="1" applyFont="1" applyBorder="1" applyAlignment="1" applyProtection="1">
      <alignment horizontal="center" vertical="center"/>
      <protection locked="0"/>
    </xf>
    <xf numFmtId="0" fontId="24" fillId="0" borderId="41" xfId="0" applyFont="1" applyBorder="1" applyAlignment="1">
      <alignment horizontal="left"/>
    </xf>
    <xf numFmtId="2" fontId="24" fillId="0" borderId="41" xfId="0" applyNumberFormat="1" applyFont="1" applyBorder="1" applyAlignment="1">
      <alignment horizontal="center"/>
    </xf>
    <xf numFmtId="1" fontId="36" fillId="0" borderId="0" xfId="0" applyNumberFormat="1" applyFont="1" applyAlignment="1">
      <alignment horizontal="center"/>
    </xf>
    <xf numFmtId="0" fontId="36" fillId="0" borderId="0" xfId="0" applyFont="1" applyAlignment="1">
      <alignment horizontal="left"/>
    </xf>
    <xf numFmtId="0" fontId="36" fillId="0" borderId="39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1" fontId="1" fillId="0" borderId="20" xfId="0" applyNumberFormat="1" applyFont="1" applyFill="1" applyBorder="1" applyAlignment="1">
      <alignment horizontal="center" vertical="center"/>
    </xf>
    <xf numFmtId="3" fontId="8" fillId="0" borderId="43" xfId="0" applyNumberFormat="1" applyFont="1" applyBorder="1" applyAlignment="1">
      <alignment horizontal="center"/>
    </xf>
    <xf numFmtId="173" fontId="0" fillId="33" borderId="20" xfId="0" applyNumberFormat="1" applyFill="1" applyBorder="1" applyAlignment="1" applyProtection="1">
      <alignment horizontal="center" vertical="center" textRotation="90"/>
      <protection/>
    </xf>
    <xf numFmtId="173" fontId="0" fillId="33" borderId="20" xfId="0" applyNumberFormat="1" applyFont="1" applyFill="1" applyBorder="1" applyAlignment="1" applyProtection="1">
      <alignment horizontal="center" vertical="center" textRotation="90"/>
      <protection/>
    </xf>
    <xf numFmtId="49" fontId="0" fillId="33" borderId="14" xfId="0" applyNumberFormat="1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>
      <alignment/>
    </xf>
    <xf numFmtId="172" fontId="31" fillId="0" borderId="40" xfId="0" applyNumberFormat="1" applyFont="1" applyFill="1" applyBorder="1" applyAlignment="1">
      <alignment horizontal="center" vertical="center" wrapText="1"/>
    </xf>
    <xf numFmtId="172" fontId="31" fillId="0" borderId="36" xfId="0" applyNumberFormat="1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/>
    </xf>
    <xf numFmtId="172" fontId="86" fillId="0" borderId="36" xfId="0" applyNumberFormat="1" applyFont="1" applyFill="1" applyBorder="1" applyAlignment="1">
      <alignment horizontal="center" vertical="center" wrapText="1"/>
    </xf>
    <xf numFmtId="0" fontId="86" fillId="0" borderId="0" xfId="0" applyFont="1" applyAlignment="1">
      <alignment/>
    </xf>
    <xf numFmtId="3" fontId="36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center"/>
    </xf>
    <xf numFmtId="1" fontId="36" fillId="0" borderId="0" xfId="0" applyNumberFormat="1" applyFont="1" applyAlignment="1">
      <alignment horizontal="left"/>
    </xf>
    <xf numFmtId="2" fontId="36" fillId="0" borderId="39" xfId="0" applyNumberFormat="1" applyFont="1" applyBorder="1" applyAlignment="1">
      <alignment horizontal="center"/>
    </xf>
    <xf numFmtId="2" fontId="36" fillId="0" borderId="0" xfId="0" applyNumberFormat="1" applyFont="1" applyBorder="1" applyAlignment="1">
      <alignment horizontal="center"/>
    </xf>
    <xf numFmtId="16" fontId="36" fillId="0" borderId="44" xfId="0" applyNumberFormat="1" applyFont="1" applyBorder="1" applyAlignment="1">
      <alignment horizontal="center"/>
    </xf>
    <xf numFmtId="20" fontId="36" fillId="0" borderId="44" xfId="0" applyNumberFormat="1" applyFont="1" applyBorder="1" applyAlignment="1">
      <alignment horizontal="center"/>
    </xf>
    <xf numFmtId="3" fontId="36" fillId="0" borderId="44" xfId="0" applyNumberFormat="1" applyFont="1" applyBorder="1" applyAlignment="1">
      <alignment horizontal="center"/>
    </xf>
    <xf numFmtId="0" fontId="36" fillId="0" borderId="44" xfId="0" applyFont="1" applyBorder="1" applyAlignment="1">
      <alignment/>
    </xf>
    <xf numFmtId="0" fontId="36" fillId="0" borderId="44" xfId="0" applyFont="1" applyBorder="1" applyAlignment="1">
      <alignment horizontal="left"/>
    </xf>
    <xf numFmtId="0" fontId="36" fillId="0" borderId="44" xfId="0" applyFont="1" applyBorder="1" applyAlignment="1">
      <alignment horizontal="center"/>
    </xf>
    <xf numFmtId="2" fontId="36" fillId="0" borderId="44" xfId="0" applyNumberFormat="1" applyFont="1" applyBorder="1" applyAlignment="1">
      <alignment horizontal="center"/>
    </xf>
    <xf numFmtId="3" fontId="36" fillId="0" borderId="39" xfId="0" applyNumberFormat="1" applyFont="1" applyBorder="1" applyAlignment="1">
      <alignment horizontal="left"/>
    </xf>
    <xf numFmtId="49" fontId="0" fillId="33" borderId="20" xfId="0" applyNumberFormat="1" applyFont="1" applyFill="1" applyBorder="1" applyAlignment="1" applyProtection="1">
      <alignment horizontal="center" vertical="center" textRotation="90"/>
      <protection/>
    </xf>
    <xf numFmtId="1" fontId="16" fillId="0" borderId="36" xfId="0" applyNumberFormat="1" applyFont="1" applyFill="1" applyBorder="1" applyAlignment="1" applyProtection="1">
      <alignment horizontal="center" wrapText="1"/>
      <protection/>
    </xf>
    <xf numFmtId="1" fontId="13" fillId="0" borderId="36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/>
      <protection locked="0"/>
    </xf>
    <xf numFmtId="2" fontId="5" fillId="0" borderId="0" xfId="0" applyNumberFormat="1" applyFont="1" applyBorder="1" applyAlignment="1" applyProtection="1">
      <alignment horizontal="left"/>
      <protection locked="0"/>
    </xf>
    <xf numFmtId="1" fontId="21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 horizontal="center"/>
      <protection locked="0"/>
    </xf>
    <xf numFmtId="1" fontId="19" fillId="0" borderId="0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1" fontId="36" fillId="0" borderId="39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49" fontId="0" fillId="33" borderId="20" xfId="0" applyNumberFormat="1" applyFont="1" applyFill="1" applyBorder="1" applyAlignment="1" applyProtection="1">
      <alignment horizontal="center" textRotation="90"/>
      <protection/>
    </xf>
    <xf numFmtId="1" fontId="83" fillId="0" borderId="36" xfId="0" applyNumberFormat="1" applyFont="1" applyFill="1" applyBorder="1" applyAlignment="1" applyProtection="1" quotePrefix="1">
      <alignment horizontal="center" wrapText="1"/>
      <protection/>
    </xf>
    <xf numFmtId="1" fontId="83" fillId="0" borderId="38" xfId="0" applyNumberFormat="1" applyFont="1" applyFill="1" applyBorder="1" applyAlignment="1" applyProtection="1" quotePrefix="1">
      <alignment horizontal="center" wrapText="1"/>
      <protection/>
    </xf>
    <xf numFmtId="0" fontId="1" fillId="0" borderId="45" xfId="0" applyFont="1" applyBorder="1" applyAlignment="1">
      <alignment horizontal="left" vertical="center" wrapText="1" indent="1"/>
    </xf>
    <xf numFmtId="172" fontId="88" fillId="0" borderId="46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left" vertical="center" wrapText="1" indent="1"/>
    </xf>
    <xf numFmtId="172" fontId="88" fillId="0" borderId="47" xfId="0" applyNumberFormat="1" applyFont="1" applyBorder="1" applyAlignment="1">
      <alignment horizontal="center" vertical="center" wrapText="1"/>
    </xf>
    <xf numFmtId="1" fontId="3" fillId="36" borderId="36" xfId="0" applyNumberFormat="1" applyFont="1" applyFill="1" applyBorder="1" applyAlignment="1" applyProtection="1">
      <alignment vertical="center" wrapText="1"/>
      <protection/>
    </xf>
    <xf numFmtId="1" fontId="3" fillId="36" borderId="36" xfId="0" applyNumberFormat="1" applyFont="1" applyFill="1" applyBorder="1" applyAlignment="1" applyProtection="1">
      <alignment horizontal="left" vertical="center" wrapText="1"/>
      <protection/>
    </xf>
    <xf numFmtId="1" fontId="3" fillId="36" borderId="36" xfId="0" applyNumberFormat="1" applyFont="1" applyFill="1" applyBorder="1" applyAlignment="1" applyProtection="1">
      <alignment vertical="center"/>
      <protection locked="0"/>
    </xf>
    <xf numFmtId="1" fontId="3" fillId="36" borderId="36" xfId="0" applyNumberFormat="1" applyFont="1" applyFill="1" applyBorder="1" applyAlignment="1" applyProtection="1">
      <alignment horizontal="left" vertical="center"/>
      <protection/>
    </xf>
    <xf numFmtId="1" fontId="3" fillId="36" borderId="14" xfId="0" applyNumberFormat="1" applyFont="1" applyFill="1" applyBorder="1" applyAlignment="1" applyProtection="1">
      <alignment vertical="center" wrapText="1"/>
      <protection/>
    </xf>
    <xf numFmtId="1" fontId="3" fillId="36" borderId="14" xfId="0" applyNumberFormat="1" applyFont="1" applyFill="1" applyBorder="1" applyAlignment="1" applyProtection="1">
      <alignment horizontal="left" vertical="center" wrapText="1"/>
      <protection/>
    </xf>
    <xf numFmtId="1" fontId="3" fillId="36" borderId="14" xfId="0" applyNumberFormat="1" applyFont="1" applyFill="1" applyBorder="1" applyAlignment="1" applyProtection="1">
      <alignment vertical="center"/>
      <protection locked="0"/>
    </xf>
    <xf numFmtId="1" fontId="36" fillId="0" borderId="0" xfId="0" applyNumberFormat="1" applyFont="1" applyBorder="1" applyAlignment="1">
      <alignment horizontal="center"/>
    </xf>
    <xf numFmtId="3" fontId="83" fillId="0" borderId="1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85" fillId="37" borderId="48" xfId="0" applyFont="1" applyFill="1" applyBorder="1" applyAlignment="1">
      <alignment horizontal="center"/>
    </xf>
    <xf numFmtId="16" fontId="85" fillId="37" borderId="49" xfId="0" applyNumberFormat="1" applyFont="1" applyFill="1" applyBorder="1" applyAlignment="1">
      <alignment horizontal="center"/>
    </xf>
    <xf numFmtId="20" fontId="41" fillId="0" borderId="48" xfId="0" applyNumberFormat="1" applyFont="1" applyFill="1" applyBorder="1" applyAlignment="1">
      <alignment horizontal="center"/>
    </xf>
    <xf numFmtId="0" fontId="0" fillId="0" borderId="49" xfId="0" applyFont="1" applyFill="1" applyBorder="1" applyAlignment="1">
      <alignment/>
    </xf>
    <xf numFmtId="0" fontId="41" fillId="0" borderId="48" xfId="0" applyFont="1" applyFill="1" applyBorder="1" applyAlignment="1">
      <alignment horizontal="center"/>
    </xf>
    <xf numFmtId="20" fontId="41" fillId="38" borderId="48" xfId="0" applyNumberFormat="1" applyFont="1" applyFill="1" applyBorder="1" applyAlignment="1">
      <alignment horizontal="center"/>
    </xf>
    <xf numFmtId="0" fontId="0" fillId="38" borderId="49" xfId="0" applyFont="1" applyFill="1" applyBorder="1" applyAlignment="1">
      <alignment/>
    </xf>
    <xf numFmtId="0" fontId="41" fillId="38" borderId="48" xfId="0" applyFont="1" applyFill="1" applyBorder="1" applyAlignment="1">
      <alignment horizontal="center"/>
    </xf>
    <xf numFmtId="1" fontId="0" fillId="39" borderId="36" xfId="0" applyNumberFormat="1" applyFont="1" applyFill="1" applyBorder="1" applyAlignment="1" applyProtection="1">
      <alignment horizontal="center" wrapText="1"/>
      <protection/>
    </xf>
    <xf numFmtId="173" fontId="0" fillId="33" borderId="20" xfId="0" applyNumberFormat="1" applyFont="1" applyFill="1" applyBorder="1" applyAlignment="1" applyProtection="1" quotePrefix="1">
      <alignment horizontal="center" vertical="center" textRotation="90"/>
      <protection/>
    </xf>
    <xf numFmtId="1" fontId="3" fillId="36" borderId="42" xfId="0" applyNumberFormat="1" applyFont="1" applyFill="1" applyBorder="1" applyAlignment="1" applyProtection="1">
      <alignment vertical="center"/>
      <protection locked="0"/>
    </xf>
    <xf numFmtId="1" fontId="3" fillId="36" borderId="50" xfId="0" applyNumberFormat="1" applyFont="1" applyFill="1" applyBorder="1" applyAlignment="1" applyProtection="1">
      <alignment horizontal="left" vertical="center" wrapText="1"/>
      <protection/>
    </xf>
    <xf numFmtId="16" fontId="0" fillId="0" borderId="51" xfId="0" applyNumberFormat="1" applyFont="1" applyBorder="1" applyAlignment="1" applyProtection="1">
      <alignment horizontal="center" vertical="center"/>
      <protection locked="0"/>
    </xf>
    <xf numFmtId="1" fontId="83" fillId="0" borderId="37" xfId="0" applyNumberFormat="1" applyFont="1" applyFill="1" applyBorder="1" applyAlignment="1" applyProtection="1" quotePrefix="1">
      <alignment horizontal="center" wrapText="1"/>
      <protection/>
    </xf>
    <xf numFmtId="1" fontId="3" fillId="36" borderId="36" xfId="0" applyNumberFormat="1" applyFont="1" applyFill="1" applyBorder="1" applyAlignment="1" applyProtection="1">
      <alignment horizontal="left" vertical="center"/>
      <protection locked="0"/>
    </xf>
    <xf numFmtId="2" fontId="5" fillId="0" borderId="40" xfId="0" applyNumberFormat="1" applyFont="1" applyBorder="1" applyAlignment="1" applyProtection="1">
      <alignment horizontal="center" vertical="center"/>
      <protection locked="0"/>
    </xf>
    <xf numFmtId="1" fontId="0" fillId="0" borderId="40" xfId="0" applyNumberFormat="1" applyFont="1" applyBorder="1" applyAlignment="1" applyProtection="1">
      <alignment horizontal="center" vertical="center"/>
      <protection locked="0"/>
    </xf>
    <xf numFmtId="16" fontId="0" fillId="0" borderId="40" xfId="0" applyNumberFormat="1" applyFont="1" applyBorder="1" applyAlignment="1" applyProtection="1">
      <alignment horizontal="center" vertical="center"/>
      <protection locked="0"/>
    </xf>
    <xf numFmtId="1" fontId="3" fillId="0" borderId="52" xfId="0" applyNumberFormat="1" applyFont="1" applyBorder="1" applyAlignment="1" applyProtection="1">
      <alignment vertical="center"/>
      <protection locked="0"/>
    </xf>
    <xf numFmtId="2" fontId="5" fillId="0" borderId="53" xfId="0" applyNumberFormat="1" applyFont="1" applyBorder="1" applyAlignment="1" applyProtection="1">
      <alignment horizontal="center" vertical="center"/>
      <protection locked="0"/>
    </xf>
    <xf numFmtId="16" fontId="0" fillId="0" borderId="5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36" borderId="14" xfId="0" applyFont="1" applyFill="1" applyBorder="1" applyAlignment="1" applyProtection="1">
      <alignment horizontal="left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vertical="center"/>
      <protection/>
    </xf>
    <xf numFmtId="16" fontId="0" fillId="0" borderId="14" xfId="0" applyNumberFormat="1" applyBorder="1" applyAlignment="1" applyProtection="1">
      <alignment horizontal="center" vertical="center"/>
      <protection locked="0"/>
    </xf>
    <xf numFmtId="1" fontId="3" fillId="36" borderId="55" xfId="0" applyNumberFormat="1" applyFont="1" applyFill="1" applyBorder="1" applyAlignment="1" applyProtection="1">
      <alignment vertical="center" wrapText="1"/>
      <protection/>
    </xf>
    <xf numFmtId="2" fontId="5" fillId="0" borderId="56" xfId="0" applyNumberFormat="1" applyFont="1" applyBorder="1" applyAlignment="1" applyProtection="1">
      <alignment horizontal="center" vertical="center"/>
      <protection locked="0"/>
    </xf>
    <xf numFmtId="1" fontId="0" fillId="0" borderId="56" xfId="0" applyNumberFormat="1" applyFont="1" applyBorder="1" applyAlignment="1" applyProtection="1">
      <alignment horizontal="center" vertical="center"/>
      <protection locked="0"/>
    </xf>
    <xf numFmtId="16" fontId="0" fillId="0" borderId="57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1" fontId="3" fillId="0" borderId="36" xfId="0" applyNumberFormat="1" applyFont="1" applyBorder="1" applyAlignment="1" applyProtection="1">
      <alignment vertical="center"/>
      <protection locked="0"/>
    </xf>
    <xf numFmtId="1" fontId="3" fillId="0" borderId="19" xfId="0" applyNumberFormat="1" applyFont="1" applyBorder="1" applyAlignment="1" applyProtection="1">
      <alignment vertical="center"/>
      <protection locked="0"/>
    </xf>
    <xf numFmtId="2" fontId="5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6" fontId="0" fillId="0" borderId="19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/>
    </xf>
    <xf numFmtId="1" fontId="3" fillId="0" borderId="14" xfId="0" applyNumberFormat="1" applyFont="1" applyBorder="1" applyAlignment="1" applyProtection="1">
      <alignment vertical="center"/>
      <protection locked="0"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6" fontId="3" fillId="0" borderId="36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6" fontId="3" fillId="0" borderId="0" xfId="0" applyNumberFormat="1" applyFont="1" applyBorder="1" applyAlignment="1" applyProtection="1">
      <alignment horizontal="center" vertical="center"/>
      <protection locked="0"/>
    </xf>
    <xf numFmtId="2" fontId="3" fillId="0" borderId="0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Fill="1" applyBorder="1" applyAlignment="1" applyProtection="1" quotePrefix="1">
      <alignment horizontal="center" vertical="center" wrapText="1"/>
      <protection/>
    </xf>
    <xf numFmtId="1" fontId="3" fillId="36" borderId="40" xfId="0" applyNumberFormat="1" applyFont="1" applyFill="1" applyBorder="1" applyAlignment="1" applyProtection="1">
      <alignment horizontal="left" vertical="center"/>
      <protection/>
    </xf>
    <xf numFmtId="0" fontId="4" fillId="36" borderId="14" xfId="0" applyFont="1" applyFill="1" applyBorder="1" applyAlignment="1" applyProtection="1">
      <alignment vertical="center"/>
      <protection locked="0"/>
    </xf>
    <xf numFmtId="0" fontId="6" fillId="33" borderId="20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4" fillId="40" borderId="20" xfId="0" applyFont="1" applyFill="1" applyBorder="1" applyAlignment="1">
      <alignment horizontal="center" vertical="center"/>
    </xf>
    <xf numFmtId="0" fontId="5" fillId="40" borderId="14" xfId="0" applyFont="1" applyFill="1" applyBorder="1" applyAlignment="1">
      <alignment horizontal="center" vertical="center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6" fillId="41" borderId="14" xfId="0" applyFont="1" applyFill="1" applyBorder="1" applyAlignment="1">
      <alignment horizontal="center"/>
    </xf>
    <xf numFmtId="0" fontId="28" fillId="0" borderId="0" xfId="0" applyFont="1" applyBorder="1" applyAlignment="1">
      <alignment horizontal="center" vertical="center"/>
    </xf>
    <xf numFmtId="3" fontId="1" fillId="0" borderId="58" xfId="0" applyNumberFormat="1" applyFont="1" applyFill="1" applyBorder="1" applyAlignment="1">
      <alignment horizontal="center" vertical="center"/>
    </xf>
    <xf numFmtId="3" fontId="1" fillId="0" borderId="59" xfId="0" applyNumberFormat="1" applyFont="1" applyFill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1" fontId="1" fillId="0" borderId="58" xfId="0" applyNumberFormat="1" applyFont="1" applyFill="1" applyBorder="1" applyAlignment="1">
      <alignment horizontal="center" vertical="center"/>
    </xf>
    <xf numFmtId="1" fontId="1" fillId="0" borderId="59" xfId="0" applyNumberFormat="1" applyFont="1" applyFill="1" applyBorder="1" applyAlignment="1">
      <alignment horizontal="center" vertical="center"/>
    </xf>
    <xf numFmtId="3" fontId="1" fillId="0" borderId="60" xfId="0" applyNumberFormat="1" applyFont="1" applyFill="1" applyBorder="1" applyAlignment="1">
      <alignment horizontal="center" vertical="center"/>
    </xf>
    <xf numFmtId="3" fontId="1" fillId="0" borderId="61" xfId="0" applyNumberFormat="1" applyFont="1" applyFill="1" applyBorder="1" applyAlignment="1">
      <alignment horizontal="center" vertical="center"/>
    </xf>
    <xf numFmtId="3" fontId="1" fillId="0" borderId="62" xfId="0" applyNumberFormat="1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172" fontId="31" fillId="0" borderId="63" xfId="0" applyNumberFormat="1" applyFont="1" applyFill="1" applyBorder="1" applyAlignment="1">
      <alignment horizontal="center" vertical="center" wrapText="1"/>
    </xf>
    <xf numFmtId="172" fontId="31" fillId="0" borderId="42" xfId="0" applyNumberFormat="1" applyFont="1" applyFill="1" applyBorder="1" applyAlignment="1">
      <alignment horizontal="center" vertical="center" wrapText="1"/>
    </xf>
    <xf numFmtId="172" fontId="31" fillId="0" borderId="64" xfId="0" applyNumberFormat="1" applyFont="1" applyFill="1" applyBorder="1" applyAlignment="1">
      <alignment horizontal="center" vertical="center" wrapText="1"/>
    </xf>
    <xf numFmtId="3" fontId="1" fillId="0" borderId="20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2" fontId="31" fillId="0" borderId="65" xfId="0" applyNumberFormat="1" applyFont="1" applyFill="1" applyBorder="1" applyAlignment="1">
      <alignment horizontal="center" vertical="center" wrapText="1"/>
    </xf>
    <xf numFmtId="172" fontId="31" fillId="0" borderId="66" xfId="0" applyNumberFormat="1" applyFont="1" applyFill="1" applyBorder="1" applyAlignment="1">
      <alignment horizontal="center" vertical="center" wrapText="1"/>
    </xf>
    <xf numFmtId="3" fontId="1" fillId="0" borderId="67" xfId="0" applyNumberFormat="1" applyFont="1" applyFill="1" applyBorder="1" applyAlignment="1">
      <alignment horizontal="center" vertical="center"/>
    </xf>
    <xf numFmtId="3" fontId="1" fillId="0" borderId="68" xfId="0" applyNumberFormat="1" applyFont="1" applyFill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37" fillId="42" borderId="0" xfId="0" applyFont="1" applyFill="1" applyBorder="1" applyAlignment="1">
      <alignment horizontal="center"/>
    </xf>
    <xf numFmtId="0" fontId="89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16" fontId="37" fillId="42" borderId="0" xfId="0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</cellXfs>
  <cellStyles count="50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llowed Hyperlink" xfId="39"/>
    <cellStyle name="Dårlig" xfId="40"/>
    <cellStyle name="Forklarende tekst" xfId="41"/>
    <cellStyle name="God" xfId="42"/>
    <cellStyle name="Hyperlink" xfId="43"/>
    <cellStyle name="Input" xfId="44"/>
    <cellStyle name="Kontrollér celle" xfId="45"/>
    <cellStyle name="Markeringsfarve1" xfId="46"/>
    <cellStyle name="Markeringsfarve2" xfId="47"/>
    <cellStyle name="Markeringsfarve3" xfId="48"/>
    <cellStyle name="Markeringsfarve4" xfId="49"/>
    <cellStyle name="Markeringsfarve5" xfId="50"/>
    <cellStyle name="Markeringsfarve6" xfId="51"/>
    <cellStyle name="Neutral" xfId="52"/>
    <cellStyle name="Normal 2" xfId="53"/>
    <cellStyle name="Output" xfId="54"/>
    <cellStyle name="Overskrift 1" xfId="55"/>
    <cellStyle name="Overskrift 2" xfId="56"/>
    <cellStyle name="Overskrift 3" xfId="57"/>
    <cellStyle name="Overskrift 4" xfId="58"/>
    <cellStyle name="Percent" xfId="59"/>
    <cellStyle name="Sammenkædet celle" xfId="60"/>
    <cellStyle name="Titel" xfId="61"/>
    <cellStyle name="Total" xfId="62"/>
    <cellStyle name="Currenc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externalLink" Target="externalLinks/externalLink1.xml" /><Relationship Id="rId4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190500</xdr:colOff>
      <xdr:row>18</xdr:row>
      <xdr:rowOff>104775</xdr:rowOff>
    </xdr:from>
    <xdr:to>
      <xdr:col>15</xdr:col>
      <xdr:colOff>476250</xdr:colOff>
      <xdr:row>26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24825" y="4543425"/>
          <a:ext cx="15621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48500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48500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48500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43100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71700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6</xdr:row>
      <xdr:rowOff>38100</xdr:rowOff>
    </xdr:from>
    <xdr:to>
      <xdr:col>13</xdr:col>
      <xdr:colOff>542925</xdr:colOff>
      <xdr:row>10</xdr:row>
      <xdr:rowOff>38100</xdr:rowOff>
    </xdr:to>
    <xdr:sp>
      <xdr:nvSpPr>
        <xdr:cNvPr id="3" name="AutoShape 1"/>
        <xdr:cNvSpPr>
          <a:spLocks/>
        </xdr:cNvSpPr>
      </xdr:nvSpPr>
      <xdr:spPr>
        <a:xfrm>
          <a:off x="7905750" y="19907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4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7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8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28</xdr:row>
      <xdr:rowOff>0</xdr:rowOff>
    </xdr:from>
    <xdr:to>
      <xdr:col>10</xdr:col>
      <xdr:colOff>390525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6267450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390525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6267450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28</xdr:row>
      <xdr:rowOff>0</xdr:rowOff>
    </xdr:from>
    <xdr:to>
      <xdr:col>10</xdr:col>
      <xdr:colOff>390525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6267450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</xdr:row>
      <xdr:rowOff>104775</xdr:rowOff>
    </xdr:from>
    <xdr:to>
      <xdr:col>1</xdr:col>
      <xdr:colOff>1066800</xdr:colOff>
      <xdr:row>1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41910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69818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69818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69818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69818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69818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69818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</xdr:row>
      <xdr:rowOff>152400</xdr:rowOff>
    </xdr:from>
    <xdr:to>
      <xdr:col>1</xdr:col>
      <xdr:colOff>1028700</xdr:colOff>
      <xdr:row>1</xdr:row>
      <xdr:rowOff>657225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667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18</xdr:row>
      <xdr:rowOff>0</xdr:rowOff>
    </xdr:from>
    <xdr:to>
      <xdr:col>13</xdr:col>
      <xdr:colOff>457200</xdr:colOff>
      <xdr:row>21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7820025" y="46958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457200</xdr:colOff>
      <xdr:row>21</xdr:row>
      <xdr:rowOff>180975</xdr:rowOff>
    </xdr:to>
    <xdr:sp>
      <xdr:nvSpPr>
        <xdr:cNvPr id="3" name="AutoShape 1"/>
        <xdr:cNvSpPr>
          <a:spLocks/>
        </xdr:cNvSpPr>
      </xdr:nvSpPr>
      <xdr:spPr>
        <a:xfrm>
          <a:off x="7820025" y="46958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18</xdr:row>
      <xdr:rowOff>0</xdr:rowOff>
    </xdr:from>
    <xdr:to>
      <xdr:col>13</xdr:col>
      <xdr:colOff>457200</xdr:colOff>
      <xdr:row>21</xdr:row>
      <xdr:rowOff>180975</xdr:rowOff>
    </xdr:to>
    <xdr:sp>
      <xdr:nvSpPr>
        <xdr:cNvPr id="4" name="AutoShape 1"/>
        <xdr:cNvSpPr>
          <a:spLocks/>
        </xdr:cNvSpPr>
      </xdr:nvSpPr>
      <xdr:spPr>
        <a:xfrm>
          <a:off x="7820025" y="46958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</xdr:row>
      <xdr:rowOff>0</xdr:rowOff>
    </xdr:from>
    <xdr:to>
      <xdr:col>13</xdr:col>
      <xdr:colOff>457200</xdr:colOff>
      <xdr:row>11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7820025" y="24098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5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7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820025" y="7058025"/>
          <a:ext cx="9525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4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</xdr:row>
      <xdr:rowOff>0</xdr:rowOff>
    </xdr:from>
    <xdr:to>
      <xdr:col>13</xdr:col>
      <xdr:colOff>457200</xdr:colOff>
      <xdr:row>11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7820025" y="24098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820025" y="7058025"/>
          <a:ext cx="9525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0</xdr:row>
      <xdr:rowOff>66675</xdr:rowOff>
    </xdr:from>
    <xdr:to>
      <xdr:col>0</xdr:col>
      <xdr:colOff>1181100</xdr:colOff>
      <xdr:row>1</xdr:row>
      <xdr:rowOff>314325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66675"/>
          <a:ext cx="7334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5" name="AutoShape 1"/>
        <xdr:cNvSpPr>
          <a:spLocks/>
        </xdr:cNvSpPr>
      </xdr:nvSpPr>
      <xdr:spPr>
        <a:xfrm>
          <a:off x="7820025" y="7058025"/>
          <a:ext cx="9525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7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781050</xdr:colOff>
      <xdr:row>19</xdr:row>
      <xdr:rowOff>190500</xdr:rowOff>
    </xdr:from>
    <xdr:to>
      <xdr:col>4</xdr:col>
      <xdr:colOff>476250</xdr:colOff>
      <xdr:row>22</xdr:row>
      <xdr:rowOff>9525</xdr:rowOff>
    </xdr:to>
    <xdr:sp>
      <xdr:nvSpPr>
        <xdr:cNvPr id="8" name="Tekstfelt 8"/>
        <xdr:cNvSpPr txBox="1">
          <a:spLocks noChangeArrowheads="1"/>
        </xdr:cNvSpPr>
      </xdr:nvSpPr>
      <xdr:spPr>
        <a:xfrm>
          <a:off x="781050" y="5114925"/>
          <a:ext cx="2914650" cy="504825"/>
        </a:xfrm>
        <a:prstGeom prst="rect">
          <a:avLst/>
        </a:prstGeom>
        <a:solidFill>
          <a:srgbClr val="C3D69B"/>
        </a:solidFill>
        <a:ln w="9525" cmpd="sng">
          <a:solidFill>
            <a:srgbClr val="5959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Putts omregnet fra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13 spillede huller til 18 huller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</xdr:row>
      <xdr:rowOff>0</xdr:rowOff>
    </xdr:from>
    <xdr:to>
      <xdr:col>13</xdr:col>
      <xdr:colOff>457200</xdr:colOff>
      <xdr:row>11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7820025" y="24098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820025" y="7058025"/>
          <a:ext cx="9525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0</xdr:row>
      <xdr:rowOff>38100</xdr:rowOff>
    </xdr:from>
    <xdr:to>
      <xdr:col>0</xdr:col>
      <xdr:colOff>1200150</xdr:colOff>
      <xdr:row>1</xdr:row>
      <xdr:rowOff>333375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8100"/>
          <a:ext cx="7524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5" name="AutoShape 1"/>
        <xdr:cNvSpPr>
          <a:spLocks/>
        </xdr:cNvSpPr>
      </xdr:nvSpPr>
      <xdr:spPr>
        <a:xfrm>
          <a:off x="7820025" y="7058025"/>
          <a:ext cx="9525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7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933450</xdr:colOff>
      <xdr:row>19</xdr:row>
      <xdr:rowOff>142875</xdr:rowOff>
    </xdr:from>
    <xdr:to>
      <xdr:col>5</xdr:col>
      <xdr:colOff>85725</xdr:colOff>
      <xdr:row>21</xdr:row>
      <xdr:rowOff>190500</xdr:rowOff>
    </xdr:to>
    <xdr:sp>
      <xdr:nvSpPr>
        <xdr:cNvPr id="8" name="Tekstfelt 2"/>
        <xdr:cNvSpPr txBox="1">
          <a:spLocks noChangeArrowheads="1"/>
        </xdr:cNvSpPr>
      </xdr:nvSpPr>
      <xdr:spPr>
        <a:xfrm>
          <a:off x="933450" y="5067300"/>
          <a:ext cx="2914650" cy="504825"/>
        </a:xfrm>
        <a:prstGeom prst="rect">
          <a:avLst/>
        </a:prstGeom>
        <a:solidFill>
          <a:srgbClr val="C3D69B"/>
        </a:solidFill>
        <a:ln w="9525" cmpd="sng">
          <a:solidFill>
            <a:srgbClr val="5959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Putts omregnet fra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12 spillede huller til 18 huller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</xdr:row>
      <xdr:rowOff>0</xdr:rowOff>
    </xdr:from>
    <xdr:to>
      <xdr:col>13</xdr:col>
      <xdr:colOff>457200</xdr:colOff>
      <xdr:row>11</xdr:row>
      <xdr:rowOff>228600</xdr:rowOff>
    </xdr:to>
    <xdr:sp>
      <xdr:nvSpPr>
        <xdr:cNvPr id="1" name="AutoShape 1"/>
        <xdr:cNvSpPr>
          <a:spLocks/>
        </xdr:cNvSpPr>
      </xdr:nvSpPr>
      <xdr:spPr>
        <a:xfrm>
          <a:off x="7820025" y="24098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2" name="AutoShape 1"/>
        <xdr:cNvSpPr>
          <a:spLocks/>
        </xdr:cNvSpPr>
      </xdr:nvSpPr>
      <xdr:spPr>
        <a:xfrm>
          <a:off x="7820025" y="7058025"/>
          <a:ext cx="9525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457200</xdr:colOff>
      <xdr:row>0</xdr:row>
      <xdr:rowOff>76200</xdr:rowOff>
    </xdr:from>
    <xdr:to>
      <xdr:col>0</xdr:col>
      <xdr:colOff>1181100</xdr:colOff>
      <xdr:row>1</xdr:row>
      <xdr:rowOff>314325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76200"/>
          <a:ext cx="7239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5" name="AutoShape 1"/>
        <xdr:cNvSpPr>
          <a:spLocks/>
        </xdr:cNvSpPr>
      </xdr:nvSpPr>
      <xdr:spPr>
        <a:xfrm>
          <a:off x="7820025" y="7058025"/>
          <a:ext cx="9525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7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1352550</xdr:colOff>
      <xdr:row>19</xdr:row>
      <xdr:rowOff>28575</xdr:rowOff>
    </xdr:from>
    <xdr:to>
      <xdr:col>5</xdr:col>
      <xdr:colOff>514350</xdr:colOff>
      <xdr:row>21</xdr:row>
      <xdr:rowOff>76200</xdr:rowOff>
    </xdr:to>
    <xdr:sp>
      <xdr:nvSpPr>
        <xdr:cNvPr id="8" name="Tekstfelt 8"/>
        <xdr:cNvSpPr txBox="1">
          <a:spLocks noChangeArrowheads="1"/>
        </xdr:cNvSpPr>
      </xdr:nvSpPr>
      <xdr:spPr>
        <a:xfrm>
          <a:off x="1352550" y="4953000"/>
          <a:ext cx="2924175" cy="504825"/>
        </a:xfrm>
        <a:prstGeom prst="rect">
          <a:avLst/>
        </a:prstGeom>
        <a:solidFill>
          <a:srgbClr val="C3D69B"/>
        </a:solidFill>
        <a:ln w="9525" cmpd="sng">
          <a:solidFill>
            <a:srgbClr val="59595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Putts omregnet fra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9 spillede huller til 18 huller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1</xdr:row>
      <xdr:rowOff>66675</xdr:rowOff>
    </xdr:from>
    <xdr:to>
      <xdr:col>1</xdr:col>
      <xdr:colOff>942975</xdr:colOff>
      <xdr:row>1</xdr:row>
      <xdr:rowOff>571500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4290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409575</xdr:colOff>
      <xdr:row>1</xdr:row>
      <xdr:rowOff>66675</xdr:rowOff>
    </xdr:from>
    <xdr:to>
      <xdr:col>1</xdr:col>
      <xdr:colOff>942975</xdr:colOff>
      <xdr:row>1</xdr:row>
      <xdr:rowOff>571500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34290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180975</xdr:colOff>
      <xdr:row>1</xdr:row>
      <xdr:rowOff>104775</xdr:rowOff>
    </xdr:from>
    <xdr:to>
      <xdr:col>1</xdr:col>
      <xdr:colOff>704850</xdr:colOff>
      <xdr:row>1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333375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285750</xdr:colOff>
      <xdr:row>1</xdr:row>
      <xdr:rowOff>114300</xdr:rowOff>
    </xdr:from>
    <xdr:to>
      <xdr:col>6</xdr:col>
      <xdr:colOff>828675</xdr:colOff>
      <xdr:row>1</xdr:row>
      <xdr:rowOff>628650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342900"/>
          <a:ext cx="5334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3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4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7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8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9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10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3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4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7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8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3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13</xdr:col>
      <xdr:colOff>457200</xdr:colOff>
      <xdr:row>20</xdr:row>
      <xdr:rowOff>180975</xdr:rowOff>
    </xdr:to>
    <xdr:sp>
      <xdr:nvSpPr>
        <xdr:cNvPr id="4" name="AutoShape 1"/>
        <xdr:cNvSpPr>
          <a:spLocks/>
        </xdr:cNvSpPr>
      </xdr:nvSpPr>
      <xdr:spPr>
        <a:xfrm>
          <a:off x="7820025" y="4467225"/>
          <a:ext cx="9525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0</xdr:row>
      <xdr:rowOff>123825</xdr:rowOff>
    </xdr:from>
    <xdr:to>
      <xdr:col>0</xdr:col>
      <xdr:colOff>1181100</xdr:colOff>
      <xdr:row>1</xdr:row>
      <xdr:rowOff>304800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123825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3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13</xdr:col>
      <xdr:colOff>457200</xdr:colOff>
      <xdr:row>31</xdr:row>
      <xdr:rowOff>152400</xdr:rowOff>
    </xdr:to>
    <xdr:sp>
      <xdr:nvSpPr>
        <xdr:cNvPr id="4" name="AutoShape 1"/>
        <xdr:cNvSpPr>
          <a:spLocks/>
        </xdr:cNvSpPr>
      </xdr:nvSpPr>
      <xdr:spPr>
        <a:xfrm>
          <a:off x="7820025" y="7058025"/>
          <a:ext cx="9525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457200</xdr:colOff>
      <xdr:row>9</xdr:row>
      <xdr:rowOff>228600</xdr:rowOff>
    </xdr:to>
    <xdr:sp>
      <xdr:nvSpPr>
        <xdr:cNvPr id="5" name="AutoShape 1"/>
        <xdr:cNvSpPr>
          <a:spLocks/>
        </xdr:cNvSpPr>
      </xdr:nvSpPr>
      <xdr:spPr>
        <a:xfrm>
          <a:off x="7820025" y="19526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7</xdr:row>
      <xdr:rowOff>0</xdr:rowOff>
    </xdr:from>
    <xdr:to>
      <xdr:col>13</xdr:col>
      <xdr:colOff>457200</xdr:colOff>
      <xdr:row>10</xdr:row>
      <xdr:rowOff>228600</xdr:rowOff>
    </xdr:to>
    <xdr:sp>
      <xdr:nvSpPr>
        <xdr:cNvPr id="6" name="AutoShape 1"/>
        <xdr:cNvSpPr>
          <a:spLocks/>
        </xdr:cNvSpPr>
      </xdr:nvSpPr>
      <xdr:spPr>
        <a:xfrm>
          <a:off x="7820025" y="2181225"/>
          <a:ext cx="952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nGolf%20Turkish%20Invitational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HE FINAL"/>
    </sheetNames>
    <sheetDataSet>
      <sheetData sheetId="0">
        <row r="10">
          <cell r="A10" t="str">
            <v>Jan Hegner</v>
          </cell>
          <cell r="B10">
            <v>12.4</v>
          </cell>
          <cell r="C10">
            <v>24</v>
          </cell>
          <cell r="D10">
            <v>29</v>
          </cell>
          <cell r="E10">
            <v>27</v>
          </cell>
          <cell r="F10">
            <v>80</v>
          </cell>
          <cell r="G10">
            <v>7</v>
          </cell>
        </row>
        <row r="11">
          <cell r="A11" t="str">
            <v>Karsten Valeur</v>
          </cell>
          <cell r="B11">
            <v>14.2</v>
          </cell>
          <cell r="C11">
            <v>26</v>
          </cell>
          <cell r="D11">
            <v>23</v>
          </cell>
          <cell r="E11">
            <v>31</v>
          </cell>
          <cell r="F11">
            <v>80</v>
          </cell>
          <cell r="G11">
            <v>8</v>
          </cell>
        </row>
        <row r="12">
          <cell r="A12" t="str">
            <v>Jesper Vohs Nielsen</v>
          </cell>
          <cell r="B12">
            <v>13.8</v>
          </cell>
          <cell r="C12">
            <v>28</v>
          </cell>
          <cell r="D12">
            <v>30</v>
          </cell>
          <cell r="E12">
            <v>20</v>
          </cell>
          <cell r="F12">
            <v>78</v>
          </cell>
          <cell r="G12">
            <v>9</v>
          </cell>
        </row>
        <row r="13">
          <cell r="A13" t="str">
            <v>Henning B. Nielsen</v>
          </cell>
          <cell r="B13">
            <v>14.6</v>
          </cell>
          <cell r="C13">
            <v>27</v>
          </cell>
          <cell r="D13">
            <v>22</v>
          </cell>
          <cell r="E13">
            <v>27</v>
          </cell>
          <cell r="F13">
            <v>76</v>
          </cell>
          <cell r="G13">
            <v>10</v>
          </cell>
        </row>
        <row r="14">
          <cell r="A14" t="str">
            <v>Morten Clausen</v>
          </cell>
          <cell r="B14">
            <v>18</v>
          </cell>
          <cell r="C14">
            <v>25</v>
          </cell>
          <cell r="D14">
            <v>22</v>
          </cell>
          <cell r="E14">
            <v>28</v>
          </cell>
          <cell r="F14">
            <v>75</v>
          </cell>
          <cell r="G14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0"/>
  <sheetViews>
    <sheetView tabSelected="1" zoomScale="150" zoomScaleNormal="150" workbookViewId="0" topLeftCell="B1">
      <selection activeCell="B1" sqref="B1:P30"/>
    </sheetView>
  </sheetViews>
  <sheetFormatPr defaultColWidth="9.140625" defaultRowHeight="12.75"/>
  <cols>
    <col min="1" max="1" width="0" style="1" hidden="1" customWidth="1"/>
    <col min="2" max="2" width="4.7109375" style="1" customWidth="1"/>
    <col min="3" max="3" width="20.28125" style="2" customWidth="1"/>
    <col min="4" max="4" width="6.8515625" style="3" customWidth="1"/>
    <col min="5" max="5" width="5.421875" style="3" customWidth="1"/>
    <col min="6" max="6" width="4.7109375" style="1" customWidth="1"/>
    <col min="7" max="7" width="20.28125" style="1" customWidth="1"/>
    <col min="8" max="8" width="12.421875" style="4" customWidth="1"/>
    <col min="9" max="9" width="5.421875" style="1" customWidth="1"/>
    <col min="10" max="10" width="4.7109375" style="1" customWidth="1"/>
    <col min="11" max="11" width="20.28125" style="1" customWidth="1"/>
    <col min="12" max="12" width="8.140625" style="5" customWidth="1"/>
    <col min="13" max="13" width="5.7109375" style="1" customWidth="1"/>
    <col min="14" max="14" width="4.7109375" style="1" customWidth="1"/>
    <col min="15" max="15" width="14.421875" style="1" customWidth="1"/>
    <col min="16" max="16" width="9.7109375" style="5" customWidth="1"/>
    <col min="17" max="16384" width="9.140625" style="1" customWidth="1"/>
  </cols>
  <sheetData>
    <row r="1" spans="2:16" ht="43.5" customHeight="1">
      <c r="B1" s="419" t="s">
        <v>187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O1" s="419"/>
      <c r="P1" s="419"/>
    </row>
    <row r="2" spans="2:16" s="6" customFormat="1" ht="18" customHeight="1">
      <c r="B2" s="420" t="s">
        <v>0</v>
      </c>
      <c r="C2" s="420"/>
      <c r="D2" s="420"/>
      <c r="E2" s="7"/>
      <c r="F2" s="420" t="s">
        <v>1</v>
      </c>
      <c r="G2" s="420"/>
      <c r="H2" s="420"/>
      <c r="J2" s="420" t="s">
        <v>2</v>
      </c>
      <c r="K2" s="420"/>
      <c r="L2" s="420"/>
      <c r="N2" s="420" t="s">
        <v>3</v>
      </c>
      <c r="O2" s="420"/>
      <c r="P2" s="420"/>
    </row>
    <row r="3" spans="2:16" ht="18" customHeight="1">
      <c r="B3" s="8">
        <v>1</v>
      </c>
      <c r="C3" s="9" t="str">
        <f>Point!B3</f>
        <v>Jakob K</v>
      </c>
      <c r="D3" s="10">
        <f>Point!C3</f>
        <v>128</v>
      </c>
      <c r="E3" s="11"/>
      <c r="F3" s="12">
        <v>1</v>
      </c>
      <c r="G3" s="13" t="str">
        <f>Money!B3</f>
        <v>Jakob K</v>
      </c>
      <c r="H3" s="14">
        <f>Money!C3</f>
        <v>26890000</v>
      </c>
      <c r="I3" s="11"/>
      <c r="J3" s="12">
        <v>1</v>
      </c>
      <c r="K3" s="15" t="str">
        <f>Puts!B3</f>
        <v>Jakob K</v>
      </c>
      <c r="L3" s="16">
        <f>Puts!C3</f>
        <v>29.5</v>
      </c>
      <c r="M3" s="11"/>
      <c r="N3" s="12">
        <v>1</v>
      </c>
      <c r="O3" s="17" t="str">
        <f>'Tæt-flag'!B3</f>
        <v>Børge H</v>
      </c>
      <c r="P3" s="16">
        <f>'Tæt-flag'!C3</f>
        <v>0.65</v>
      </c>
    </row>
    <row r="4" spans="2:16" ht="18" customHeight="1">
      <c r="B4" s="18">
        <v>2</v>
      </c>
      <c r="C4" s="19" t="str">
        <f>Point!B4</f>
        <v>Karsten V</v>
      </c>
      <c r="D4" s="20">
        <f>Point!C4</f>
        <v>124</v>
      </c>
      <c r="E4" s="11"/>
      <c r="F4" s="21">
        <v>2</v>
      </c>
      <c r="G4" s="22" t="str">
        <f>Money!B4</f>
        <v>Karsten V</v>
      </c>
      <c r="H4" s="23">
        <f>Money!C4</f>
        <v>25480000</v>
      </c>
      <c r="I4" s="11"/>
      <c r="J4" s="21">
        <v>2</v>
      </c>
      <c r="K4" s="24" t="str">
        <f>Puts!B4</f>
        <v>Robin T</v>
      </c>
      <c r="L4" s="25">
        <f>Puts!C4</f>
        <v>30.27777777777778</v>
      </c>
      <c r="M4" s="11"/>
      <c r="N4" s="21">
        <v>2</v>
      </c>
      <c r="O4" s="26" t="str">
        <f>'Tæt-flag'!B4</f>
        <v>Jesper VN </v>
      </c>
      <c r="P4" s="25">
        <f>'Tæt-flag'!C4</f>
        <v>0.73</v>
      </c>
    </row>
    <row r="5" spans="2:16" ht="18" customHeight="1">
      <c r="B5" s="27">
        <v>3</v>
      </c>
      <c r="C5" s="28" t="str">
        <f>Point!B5</f>
        <v>Jan H</v>
      </c>
      <c r="D5" s="29">
        <f>Point!C5</f>
        <v>115</v>
      </c>
      <c r="E5" s="11"/>
      <c r="F5" s="30">
        <v>3</v>
      </c>
      <c r="G5" s="31" t="str">
        <f>Money!B5</f>
        <v>Jan H</v>
      </c>
      <c r="H5" s="32">
        <f>Money!C5</f>
        <v>23390000</v>
      </c>
      <c r="I5" s="11"/>
      <c r="J5" s="30">
        <v>3</v>
      </c>
      <c r="K5" s="33" t="str">
        <f>Puts!B5</f>
        <v>Jan H</v>
      </c>
      <c r="L5" s="34">
        <f>Puts!C5</f>
        <v>30.944444444444443</v>
      </c>
      <c r="M5" s="11"/>
      <c r="N5" s="30">
        <v>3</v>
      </c>
      <c r="O5" s="35" t="str">
        <f>'Tæt-flag'!B5</f>
        <v>Jakob K</v>
      </c>
      <c r="P5" s="34">
        <f>'Tæt-flag'!C5</f>
        <v>0.86</v>
      </c>
    </row>
    <row r="6" spans="2:16" ht="18" customHeight="1">
      <c r="B6" s="36">
        <v>4</v>
      </c>
      <c r="C6" s="37" t="str">
        <f>Point!B6</f>
        <v>Jesper VN</v>
      </c>
      <c r="D6" s="38">
        <f>Point!C6</f>
        <v>103</v>
      </c>
      <c r="E6" s="11"/>
      <c r="F6" s="39">
        <v>4</v>
      </c>
      <c r="G6" s="40" t="str">
        <f>Money!B6</f>
        <v>Jesper VN</v>
      </c>
      <c r="H6" s="40">
        <f>Money!C6</f>
        <v>19890000</v>
      </c>
      <c r="I6" s="11"/>
      <c r="J6" s="39">
        <v>4</v>
      </c>
      <c r="K6" s="41" t="str">
        <f>Puts!B6</f>
        <v>Erik P</v>
      </c>
      <c r="L6" s="42">
        <f>Puts!C6</f>
        <v>31.27777777777778</v>
      </c>
      <c r="M6" s="11"/>
      <c r="N6" s="39">
        <v>4</v>
      </c>
      <c r="O6" s="43" t="str">
        <f>'Tæt-flag'!B6</f>
        <v>Jesper VN </v>
      </c>
      <c r="P6" s="42">
        <f>'Tæt-flag'!C6</f>
        <v>0.9</v>
      </c>
    </row>
    <row r="7" spans="2:16" ht="18" customHeight="1">
      <c r="B7" s="44">
        <v>5</v>
      </c>
      <c r="C7" s="19" t="str">
        <f>Point!B7</f>
        <v>Robin T</v>
      </c>
      <c r="D7" s="45">
        <f>Point!C7</f>
        <v>94</v>
      </c>
      <c r="E7" s="11"/>
      <c r="F7" s="46">
        <v>5</v>
      </c>
      <c r="G7" s="22" t="str">
        <f>Money!B7</f>
        <v>Robin T</v>
      </c>
      <c r="H7" s="22">
        <f>Money!C7</f>
        <v>17190000</v>
      </c>
      <c r="I7" s="11"/>
      <c r="J7" s="46">
        <v>5</v>
      </c>
      <c r="K7" s="24" t="str">
        <f>Puts!B7</f>
        <v>Jesper VN</v>
      </c>
      <c r="L7" s="47">
        <f>Puts!C7</f>
        <v>31.38888888888889</v>
      </c>
      <c r="M7" s="11"/>
      <c r="N7" s="46">
        <v>5</v>
      </c>
      <c r="O7" s="26" t="str">
        <f>'Tæt-flag'!B7</f>
        <v>Steen NP</v>
      </c>
      <c r="P7" s="47">
        <f>'Tæt-flag'!C7</f>
        <v>0.93</v>
      </c>
    </row>
    <row r="8" spans="2:16" ht="18" customHeight="1">
      <c r="B8" s="44">
        <v>6</v>
      </c>
      <c r="C8" s="19" t="str">
        <f>Point!B8</f>
        <v>Ole M</v>
      </c>
      <c r="D8" s="45">
        <f>Point!C8</f>
        <v>66</v>
      </c>
      <c r="E8" s="11"/>
      <c r="F8" s="46">
        <v>6</v>
      </c>
      <c r="G8" s="22" t="str">
        <f>Money!B8</f>
        <v>Morten C</v>
      </c>
      <c r="H8" s="22">
        <f>Money!C8</f>
        <v>12470000</v>
      </c>
      <c r="I8" s="11"/>
      <c r="J8" s="46">
        <v>6</v>
      </c>
      <c r="K8" s="24" t="str">
        <f>Puts!B8</f>
        <v>Karsten V</v>
      </c>
      <c r="L8" s="47">
        <f>Puts!C8</f>
        <v>31.38888888888889</v>
      </c>
      <c r="M8" s="11"/>
      <c r="N8" s="46">
        <v>6</v>
      </c>
      <c r="O8" s="26" t="str">
        <f>'Tæt-flag'!B8</f>
        <v>Hans MV</v>
      </c>
      <c r="P8" s="47">
        <f>'Tæt-flag'!C8</f>
        <v>1.33</v>
      </c>
    </row>
    <row r="9" spans="2:16" ht="18" customHeight="1">
      <c r="B9" s="44">
        <v>7</v>
      </c>
      <c r="C9" s="19" t="str">
        <f>Point!B9</f>
        <v>Morten C</v>
      </c>
      <c r="D9" s="45">
        <f>Point!C9</f>
        <v>65</v>
      </c>
      <c r="E9" s="11"/>
      <c r="F9" s="46">
        <v>7</v>
      </c>
      <c r="G9" s="22" t="str">
        <f>Money!B9</f>
        <v>Ole M</v>
      </c>
      <c r="H9" s="22">
        <f>Money!C9</f>
        <v>12420000</v>
      </c>
      <c r="I9" s="11"/>
      <c r="J9" s="46">
        <v>7</v>
      </c>
      <c r="K9" s="24" t="str">
        <f>Puts!B9</f>
        <v>Ole M</v>
      </c>
      <c r="L9" s="47">
        <f>Puts!C9</f>
        <v>31.88888888888889</v>
      </c>
      <c r="M9" s="11"/>
      <c r="N9" s="46">
        <v>7</v>
      </c>
      <c r="O9" s="26" t="str">
        <f>'Tæt-flag'!B9</f>
        <v>Jesper VN </v>
      </c>
      <c r="P9" s="47">
        <f>'Tæt-flag'!C9</f>
        <v>1.35</v>
      </c>
    </row>
    <row r="10" spans="2:16" ht="18" customHeight="1">
      <c r="B10" s="44">
        <v>8</v>
      </c>
      <c r="C10" s="19" t="str">
        <f>Point!B10</f>
        <v>Børge H</v>
      </c>
      <c r="D10" s="45">
        <f>Point!C10</f>
        <v>57</v>
      </c>
      <c r="E10" s="11"/>
      <c r="F10" s="46">
        <v>8</v>
      </c>
      <c r="G10" s="22" t="str">
        <f>Money!B10</f>
        <v>Erik P</v>
      </c>
      <c r="H10" s="22">
        <f>Money!C10</f>
        <v>10700000</v>
      </c>
      <c r="I10" s="11"/>
      <c r="J10" s="46">
        <v>8</v>
      </c>
      <c r="K10" s="24" t="str">
        <f>Puts!B10</f>
        <v>Carsten L</v>
      </c>
      <c r="L10" s="47">
        <f>Puts!C10</f>
        <v>32.833333333333336</v>
      </c>
      <c r="M10" s="11"/>
      <c r="N10" s="46">
        <v>8</v>
      </c>
      <c r="O10" s="26" t="str">
        <f>'Tæt-flag'!B10</f>
        <v>Jakob K</v>
      </c>
      <c r="P10" s="47">
        <f>'Tæt-flag'!C10</f>
        <v>1.59</v>
      </c>
    </row>
    <row r="11" spans="2:16" ht="18" customHeight="1">
      <c r="B11" s="44">
        <v>9</v>
      </c>
      <c r="C11" s="19" t="str">
        <f>Point!B11</f>
        <v>Erik P</v>
      </c>
      <c r="D11" s="45">
        <f>Point!C11</f>
        <v>54</v>
      </c>
      <c r="E11" s="11"/>
      <c r="F11" s="46">
        <v>9</v>
      </c>
      <c r="G11" s="22" t="str">
        <f>Money!B11</f>
        <v>Børge H</v>
      </c>
      <c r="H11" s="22">
        <f>Money!C11</f>
        <v>10070000</v>
      </c>
      <c r="I11" s="11"/>
      <c r="J11" s="46">
        <v>9</v>
      </c>
      <c r="K11" s="24" t="str">
        <f>Puts!B11</f>
        <v>Børge H</v>
      </c>
      <c r="L11" s="47">
        <f>Puts!C11</f>
        <v>32.833333333333336</v>
      </c>
      <c r="M11" s="11"/>
      <c r="N11" s="46">
        <v>9</v>
      </c>
      <c r="O11" s="26" t="str">
        <f>'Tæt-flag'!B11</f>
        <v>Karsten V</v>
      </c>
      <c r="P11" s="47">
        <f>'Tæt-flag'!C11</f>
        <v>1.77</v>
      </c>
    </row>
    <row r="12" spans="2:16" ht="18" customHeight="1">
      <c r="B12" s="44">
        <v>10</v>
      </c>
      <c r="C12" s="19" t="str">
        <f>Point!B12</f>
        <v>Torben J</v>
      </c>
      <c r="D12" s="45">
        <f>Point!C12</f>
        <v>52</v>
      </c>
      <c r="E12" s="11"/>
      <c r="F12" s="46">
        <v>10</v>
      </c>
      <c r="G12" s="22" t="str">
        <f>Money!B12</f>
        <v>Torben J</v>
      </c>
      <c r="H12" s="22">
        <f>Money!C12</f>
        <v>9840000</v>
      </c>
      <c r="I12" s="11"/>
      <c r="J12" s="46">
        <v>10</v>
      </c>
      <c r="K12" s="24" t="str">
        <f>Puts!B12</f>
        <v>Morten C</v>
      </c>
      <c r="L12" s="47">
        <f>Puts!C12</f>
        <v>32.94444444444444</v>
      </c>
      <c r="M12" s="11"/>
      <c r="N12" s="46">
        <v>10</v>
      </c>
      <c r="O12" s="26" t="str">
        <f>'Tæt-flag'!B12</f>
        <v>Carsten L</v>
      </c>
      <c r="P12" s="47">
        <f>'Tæt-flag'!C12</f>
        <v>1.93</v>
      </c>
    </row>
    <row r="13" spans="2:16" ht="18" customHeight="1">
      <c r="B13" s="44">
        <v>11</v>
      </c>
      <c r="C13" s="19" t="str">
        <f>Point!B13</f>
        <v>Steen NP</v>
      </c>
      <c r="D13" s="45">
        <f>Point!C13</f>
        <v>49</v>
      </c>
      <c r="E13" s="11"/>
      <c r="F13" s="46">
        <v>11</v>
      </c>
      <c r="G13" s="22" t="str">
        <f>Money!B13</f>
        <v>Thorkild J</v>
      </c>
      <c r="H13" s="22">
        <f>Money!C13</f>
        <v>9580000</v>
      </c>
      <c r="I13" s="11"/>
      <c r="J13" s="46">
        <v>11</v>
      </c>
      <c r="K13" s="24" t="str">
        <f>Puts!B13</f>
        <v>Torben J</v>
      </c>
      <c r="L13" s="47">
        <f>Puts!C13</f>
        <v>33.166666666666664</v>
      </c>
      <c r="M13" s="11"/>
      <c r="N13" s="48"/>
      <c r="O13" s="49"/>
      <c r="P13" s="50"/>
    </row>
    <row r="14" spans="2:16" ht="18" customHeight="1">
      <c r="B14" s="44">
        <v>12</v>
      </c>
      <c r="C14" s="19" t="str">
        <f>Point!B14</f>
        <v>Carsten D</v>
      </c>
      <c r="D14" s="45">
        <f>Point!C14</f>
        <v>48</v>
      </c>
      <c r="E14" s="11"/>
      <c r="F14" s="46">
        <v>12</v>
      </c>
      <c r="G14" s="22" t="str">
        <f>Money!B14</f>
        <v>Jens L</v>
      </c>
      <c r="H14" s="22">
        <f>Money!C14</f>
        <v>9080000</v>
      </c>
      <c r="I14" s="11"/>
      <c r="J14" s="46">
        <v>12</v>
      </c>
      <c r="K14" s="24" t="str">
        <f>Puts!B14</f>
        <v>John S</v>
      </c>
      <c r="L14" s="47">
        <f>Puts!C14</f>
        <v>33.72222222222222</v>
      </c>
      <c r="M14" s="11"/>
      <c r="N14" s="421" t="s">
        <v>4</v>
      </c>
      <c r="O14" s="421"/>
      <c r="P14" s="421"/>
    </row>
    <row r="15" spans="2:16" ht="18" customHeight="1">
      <c r="B15" s="44">
        <v>13</v>
      </c>
      <c r="C15" s="19" t="str">
        <f>Point!B15</f>
        <v>Thorkild J</v>
      </c>
      <c r="D15" s="45">
        <f>Point!C15</f>
        <v>47</v>
      </c>
      <c r="E15" s="11"/>
      <c r="F15" s="46">
        <v>13</v>
      </c>
      <c r="G15" s="22" t="str">
        <f>Money!B15</f>
        <v>Steen N P</v>
      </c>
      <c r="H15" s="22">
        <f>Money!C15</f>
        <v>8950000</v>
      </c>
      <c r="I15" s="11"/>
      <c r="J15" s="46">
        <v>13</v>
      </c>
      <c r="K15" s="24" t="str">
        <f>Puts!B15</f>
        <v>Carsten D</v>
      </c>
      <c r="L15" s="47">
        <f>Puts!C15</f>
        <v>34.27777777777778</v>
      </c>
      <c r="M15" s="11"/>
      <c r="N15" s="51">
        <v>1</v>
      </c>
      <c r="O15" s="52" t="str">
        <f>'Tæt-flag'!G3</f>
        <v>Robin</v>
      </c>
      <c r="P15" s="53" t="str">
        <f>'Tæt-flag'!H3</f>
        <v>FINAL</v>
      </c>
    </row>
    <row r="16" spans="2:16" ht="18" customHeight="1">
      <c r="B16" s="44">
        <v>14</v>
      </c>
      <c r="C16" s="19" t="str">
        <f>Point!B16</f>
        <v>Jens L</v>
      </c>
      <c r="D16" s="45">
        <f>Point!C16</f>
        <v>47</v>
      </c>
      <c r="E16" s="11"/>
      <c r="F16" s="46">
        <v>14</v>
      </c>
      <c r="G16" s="22" t="str">
        <f>Money!B16</f>
        <v>Per N</v>
      </c>
      <c r="H16" s="22">
        <f>Money!C16</f>
        <v>8800000</v>
      </c>
      <c r="I16" s="11"/>
      <c r="J16" s="46">
        <v>14</v>
      </c>
      <c r="K16" s="24" t="str">
        <f>Puts!B16</f>
        <v>Steen NP</v>
      </c>
      <c r="L16" s="47">
        <f>Puts!C16</f>
        <v>34.333333333333336</v>
      </c>
      <c r="M16" s="11"/>
      <c r="N16" s="54">
        <v>2</v>
      </c>
      <c r="O16" s="55" t="str">
        <f>'Tæt-flag'!G4</f>
        <v>Carsten L</v>
      </c>
      <c r="P16" s="56" t="str">
        <f>'Tæt-flag'!H4</f>
        <v>GCCGB</v>
      </c>
    </row>
    <row r="17" spans="2:16" ht="18" customHeight="1">
      <c r="B17" s="44">
        <v>15</v>
      </c>
      <c r="C17" s="19" t="str">
        <f>Point!B17</f>
        <v>Per N</v>
      </c>
      <c r="D17" s="45">
        <f>Point!C17</f>
        <v>46</v>
      </c>
      <c r="E17" s="11"/>
      <c r="F17" s="46">
        <v>15</v>
      </c>
      <c r="G17" s="22" t="str">
        <f>Money!B17</f>
        <v>Carsten D</v>
      </c>
      <c r="H17" s="22">
        <f>Money!C17</f>
        <v>8370000</v>
      </c>
      <c r="I17" s="11"/>
      <c r="J17" s="46">
        <v>15</v>
      </c>
      <c r="K17" s="24" t="str">
        <f>Puts!B17</f>
        <v>Claus J</v>
      </c>
      <c r="L17" s="47">
        <f>Puts!C17</f>
        <v>34.5</v>
      </c>
      <c r="M17" s="11"/>
      <c r="N17" s="54">
        <v>3</v>
      </c>
      <c r="O17" s="55" t="str">
        <f>'Tæt-flag'!G5</f>
        <v>Steen</v>
      </c>
      <c r="P17" s="56" t="str">
        <f>'Tæt-flag'!H5</f>
        <v>SM Golf</v>
      </c>
    </row>
    <row r="18" spans="2:16" ht="18" customHeight="1">
      <c r="B18" s="44">
        <v>16</v>
      </c>
      <c r="C18" s="19" t="str">
        <f>Point!B18</f>
        <v>Carsten L</v>
      </c>
      <c r="D18" s="45">
        <f>Point!C18</f>
        <v>42</v>
      </c>
      <c r="E18" s="11"/>
      <c r="F18" s="46">
        <v>16</v>
      </c>
      <c r="G18" s="22" t="str">
        <f>Money!B18</f>
        <v>Carsten L</v>
      </c>
      <c r="H18" s="22">
        <f>Money!C18</f>
        <v>8320000</v>
      </c>
      <c r="I18" s="11"/>
      <c r="J18" s="46">
        <v>16</v>
      </c>
      <c r="K18" s="24" t="str">
        <f>Puts!B18</f>
        <v>Jens L</v>
      </c>
      <c r="L18" s="47">
        <f>Puts!C18</f>
        <v>35.388888888888886</v>
      </c>
      <c r="M18" s="11"/>
      <c r="N18" s="11"/>
      <c r="O18" s="11"/>
      <c r="P18" s="11"/>
    </row>
    <row r="19" spans="2:16" ht="18" customHeight="1">
      <c r="B19" s="44">
        <v>17</v>
      </c>
      <c r="C19" s="19" t="str">
        <f>Point!B19</f>
        <v>Bo H</v>
      </c>
      <c r="D19" s="45">
        <f>Point!C19</f>
        <v>36</v>
      </c>
      <c r="E19" s="11"/>
      <c r="F19" s="46">
        <v>17</v>
      </c>
      <c r="G19" s="22" t="str">
        <f>Money!B19</f>
        <v>John S</v>
      </c>
      <c r="H19" s="22">
        <f>Money!C19</f>
        <v>7990000</v>
      </c>
      <c r="I19" s="11"/>
      <c r="J19" s="46">
        <v>17</v>
      </c>
      <c r="K19" s="24" t="str">
        <f>Puts!B19</f>
        <v>Hans MV</v>
      </c>
      <c r="L19" s="47">
        <f>Puts!C19</f>
        <v>35.55555555555556</v>
      </c>
      <c r="M19" s="11"/>
      <c r="N19" s="48"/>
      <c r="O19" s="49"/>
      <c r="P19" s="50"/>
    </row>
    <row r="20" spans="2:16" ht="18" customHeight="1">
      <c r="B20" s="44">
        <v>18</v>
      </c>
      <c r="C20" s="19" t="str">
        <f>Point!B20</f>
        <v>John S</v>
      </c>
      <c r="D20" s="45">
        <f>Point!C20</f>
        <v>36</v>
      </c>
      <c r="E20" s="11"/>
      <c r="F20" s="46">
        <v>18</v>
      </c>
      <c r="G20" s="22" t="str">
        <f>Money!B20</f>
        <v>Bo H</v>
      </c>
      <c r="H20" s="22">
        <f>Money!C20</f>
        <v>6780000</v>
      </c>
      <c r="I20" s="11"/>
      <c r="J20" s="46">
        <v>18</v>
      </c>
      <c r="K20" s="24" t="str">
        <f>Puts!B20</f>
        <v>Henning B</v>
      </c>
      <c r="L20" s="47">
        <f>Puts!C20</f>
        <v>35.77777777777778</v>
      </c>
      <c r="M20" s="11"/>
      <c r="N20" s="48"/>
      <c r="O20" s="49"/>
      <c r="P20" s="50"/>
    </row>
    <row r="21" spans="2:16" ht="18" customHeight="1">
      <c r="B21" s="44">
        <v>19</v>
      </c>
      <c r="C21" s="19" t="str">
        <f>Point!B21</f>
        <v>Claus J</v>
      </c>
      <c r="D21" s="45">
        <f>Point!C21</f>
        <v>35</v>
      </c>
      <c r="E21" s="11"/>
      <c r="F21" s="46">
        <v>19</v>
      </c>
      <c r="G21" s="22" t="str">
        <f>Money!B21</f>
        <v>Claus J</v>
      </c>
      <c r="H21" s="22">
        <f>Money!C21</f>
        <v>6610000</v>
      </c>
      <c r="I21" s="11"/>
      <c r="J21" s="46">
        <v>19</v>
      </c>
      <c r="K21" s="24" t="str">
        <f>Puts!B21</f>
        <v>Per N</v>
      </c>
      <c r="L21" s="47">
        <f>Puts!C21</f>
        <v>36.05555555555556</v>
      </c>
      <c r="M21" s="11"/>
      <c r="N21" s="282"/>
      <c r="O21" s="282"/>
      <c r="P21" s="282"/>
    </row>
    <row r="22" spans="2:16" ht="18" customHeight="1">
      <c r="B22" s="44">
        <v>20</v>
      </c>
      <c r="C22" s="19" t="str">
        <f>Point!B22</f>
        <v>Poul D</v>
      </c>
      <c r="D22" s="45">
        <f>Point!C22</f>
        <v>29</v>
      </c>
      <c r="E22" s="11"/>
      <c r="F22" s="46">
        <v>20</v>
      </c>
      <c r="G22" s="22" t="str">
        <f>Money!B22</f>
        <v>Hans MV</v>
      </c>
      <c r="H22" s="22">
        <f>Money!C22</f>
        <v>5120000</v>
      </c>
      <c r="I22" s="11"/>
      <c r="J22" s="46">
        <v>20</v>
      </c>
      <c r="K22" s="24" t="str">
        <f>Puts!B22</f>
        <v>Henning V</v>
      </c>
      <c r="L22" s="47">
        <f>Puts!C22</f>
        <v>36.833333333333336</v>
      </c>
      <c r="M22" s="11"/>
      <c r="N22" s="57"/>
      <c r="O22" s="58"/>
      <c r="P22" s="59"/>
    </row>
    <row r="23" spans="2:16" ht="18" customHeight="1">
      <c r="B23" s="44">
        <v>21</v>
      </c>
      <c r="C23" s="19" t="str">
        <f>Point!B23</f>
        <v>Hans MV</v>
      </c>
      <c r="D23" s="45">
        <f>Point!C23</f>
        <v>25</v>
      </c>
      <c r="E23" s="11"/>
      <c r="F23" s="46">
        <v>21</v>
      </c>
      <c r="G23" s="22" t="str">
        <f>Money!B23</f>
        <v>Poul D</v>
      </c>
      <c r="H23" s="22">
        <f>Money!C23</f>
        <v>5050000</v>
      </c>
      <c r="I23" s="11"/>
      <c r="J23" s="46">
        <v>21</v>
      </c>
      <c r="K23" s="24" t="str">
        <f>Puts!B23</f>
        <v>Poul D</v>
      </c>
      <c r="L23" s="47">
        <f>Puts!C23</f>
        <v>37.05555555555556</v>
      </c>
      <c r="M23" s="11"/>
      <c r="N23" s="57"/>
      <c r="O23" s="58"/>
      <c r="P23" s="59"/>
    </row>
    <row r="24" spans="2:16" ht="18" customHeight="1">
      <c r="B24" s="44">
        <v>22</v>
      </c>
      <c r="C24" s="19" t="str">
        <f>Point!B24</f>
        <v>Henning B</v>
      </c>
      <c r="D24" s="45">
        <f>Point!C24</f>
        <v>23</v>
      </c>
      <c r="E24" s="11"/>
      <c r="F24" s="46">
        <v>22</v>
      </c>
      <c r="G24" s="22" t="str">
        <f>Money!B24</f>
        <v>Henning B</v>
      </c>
      <c r="H24" s="22">
        <f>Money!C24</f>
        <v>4400000</v>
      </c>
      <c r="I24" s="11"/>
      <c r="J24" s="46">
        <v>22</v>
      </c>
      <c r="K24" s="24" t="str">
        <f>Puts!B24</f>
        <v>Martin A</v>
      </c>
      <c r="L24" s="47">
        <f>Puts!C24</f>
        <v>37.166666666666664</v>
      </c>
      <c r="M24" s="11"/>
      <c r="N24" s="57"/>
      <c r="O24" s="58"/>
      <c r="P24" s="59"/>
    </row>
    <row r="25" spans="2:16" ht="18" customHeight="1">
      <c r="B25" s="44">
        <v>23</v>
      </c>
      <c r="C25" s="19" t="str">
        <f>Point!B25</f>
        <v>Martin A</v>
      </c>
      <c r="D25" s="45">
        <f>Point!C25</f>
        <v>9</v>
      </c>
      <c r="E25" s="11"/>
      <c r="F25" s="46">
        <v>23</v>
      </c>
      <c r="G25" s="22" t="str">
        <f>Money!B25</f>
        <v>Henning V</v>
      </c>
      <c r="H25" s="22">
        <f>Money!C25</f>
        <v>2570000</v>
      </c>
      <c r="I25" s="11"/>
      <c r="J25" s="46">
        <v>23</v>
      </c>
      <c r="K25" s="24" t="str">
        <f>Puts!B25</f>
        <v>Bo H</v>
      </c>
      <c r="L25" s="47">
        <f>Puts!C25</f>
        <v>37.333333333333336</v>
      </c>
      <c r="M25" s="11"/>
      <c r="N25" s="57"/>
      <c r="O25" s="58"/>
      <c r="P25" s="59"/>
    </row>
    <row r="26" spans="2:17" s="60" customFormat="1" ht="18" customHeight="1">
      <c r="B26" s="44">
        <v>24</v>
      </c>
      <c r="C26" s="19" t="str">
        <f>Point!B26</f>
        <v>Henning V</v>
      </c>
      <c r="D26" s="45">
        <f>Point!C26</f>
        <v>7</v>
      </c>
      <c r="E26" s="11"/>
      <c r="F26" s="46">
        <v>24</v>
      </c>
      <c r="G26" s="22" t="str">
        <f>Money!B26</f>
        <v>Martin A</v>
      </c>
      <c r="H26" s="22">
        <f>Money!C26</f>
        <v>2410000</v>
      </c>
      <c r="I26" s="11"/>
      <c r="J26" s="46">
        <v>24</v>
      </c>
      <c r="K26" s="24" t="str">
        <f>Puts!B26</f>
        <v>Thorkild J</v>
      </c>
      <c r="L26" s="47">
        <f>Puts!C26</f>
        <v>37.55555555555556</v>
      </c>
      <c r="M26" s="11"/>
      <c r="N26" s="57"/>
      <c r="O26" s="58"/>
      <c r="P26" s="59"/>
      <c r="Q26" s="1"/>
    </row>
    <row r="27" ht="18" customHeight="1">
      <c r="C27" s="1"/>
    </row>
    <row r="28" spans="2:16" ht="12.75">
      <c r="B28" s="417" t="s">
        <v>5</v>
      </c>
      <c r="C28" s="417"/>
      <c r="D28" s="417"/>
      <c r="E28" s="417"/>
      <c r="F28" s="417"/>
      <c r="G28" s="417"/>
      <c r="H28" s="417"/>
      <c r="I28" s="417"/>
      <c r="J28" s="417"/>
      <c r="K28" s="417"/>
      <c r="L28" s="417"/>
      <c r="M28" s="417"/>
      <c r="N28" s="417"/>
      <c r="O28" s="417"/>
      <c r="P28" s="417"/>
    </row>
    <row r="29" spans="2:16" ht="12.75">
      <c r="B29" s="418" t="s">
        <v>6</v>
      </c>
      <c r="C29" s="418"/>
      <c r="D29" s="418"/>
      <c r="E29" s="418"/>
      <c r="F29" s="418"/>
      <c r="G29" s="418"/>
      <c r="H29" s="418"/>
      <c r="I29" s="418"/>
      <c r="J29" s="418"/>
      <c r="K29" s="418"/>
      <c r="L29" s="418"/>
      <c r="M29" s="418"/>
      <c r="N29" s="418"/>
      <c r="O29" s="418"/>
      <c r="P29" s="418"/>
    </row>
    <row r="30" spans="2:16" ht="12.75">
      <c r="B30" s="418" t="s">
        <v>7</v>
      </c>
      <c r="C30" s="418"/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  <c r="O30" s="418"/>
      <c r="P30" s="418"/>
    </row>
  </sheetData>
  <sheetProtection selectLockedCells="1" selectUnlockedCells="1"/>
  <mergeCells count="9">
    <mergeCell ref="B28:P28"/>
    <mergeCell ref="B29:P29"/>
    <mergeCell ref="B30:P30"/>
    <mergeCell ref="B1:P1"/>
    <mergeCell ref="B2:D2"/>
    <mergeCell ref="F2:H2"/>
    <mergeCell ref="J2:L2"/>
    <mergeCell ref="N2:P2"/>
    <mergeCell ref="N14:P14"/>
  </mergeCells>
  <printOptions horizontalCentered="1" verticalCentered="1"/>
  <pageMargins left="0.43000000000000005" right="0.43000000000000005" top="0.55" bottom="0.55" header="0.51" footer="0.51"/>
  <pageSetup fitToHeight="1" fitToWidth="1" horizontalDpi="300" verticalDpi="300" orientation="landscape" paperSize="9" scale="86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="150" zoomScaleNormal="150" workbookViewId="0" topLeftCell="A1">
      <selection activeCell="D26" sqref="D26"/>
    </sheetView>
  </sheetViews>
  <sheetFormatPr defaultColWidth="9.140625" defaultRowHeight="12.75"/>
  <cols>
    <col min="1" max="1" width="25.140625" style="141" customWidth="1"/>
    <col min="2" max="2" width="7.8515625" style="142" customWidth="1"/>
    <col min="3" max="3" width="8.421875" style="143" customWidth="1"/>
    <col min="4" max="4" width="6.8515625" style="142" customWidth="1"/>
    <col min="5" max="5" width="8.140625" style="142" customWidth="1"/>
    <col min="6" max="6" width="10.140625" style="142" customWidth="1"/>
    <col min="7" max="7" width="9.140625" style="142" customWidth="1"/>
    <col min="8" max="8" width="13.421875" style="142" customWidth="1"/>
    <col min="9" max="9" width="4.8515625" style="11" customWidth="1"/>
    <col min="10" max="10" width="8.421875" style="11" customWidth="1"/>
    <col min="11" max="11" width="7.00390625" style="11" customWidth="1"/>
    <col min="12" max="12" width="7.8515625" style="11" customWidth="1"/>
    <col min="13" max="13" width="7.421875" style="11" customWidth="1"/>
    <col min="14" max="14" width="12.421875" style="11" customWidth="1"/>
    <col min="15" max="15" width="7.421875" style="11" customWidth="1"/>
    <col min="16" max="16" width="14.28125" style="11" customWidth="1"/>
    <col min="17" max="17" width="10.7109375" style="11" customWidth="1"/>
    <col min="18" max="16384" width="9.140625" style="11" customWidth="1"/>
  </cols>
  <sheetData>
    <row r="1" spans="2:14" s="144" customFormat="1" ht="43.5" customHeight="1">
      <c r="B1" s="419" t="s">
        <v>196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2:17" s="144" customFormat="1" ht="29.25" customHeight="1">
      <c r="B2" s="425" t="s">
        <v>342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P2" s="200" t="s">
        <v>108</v>
      </c>
      <c r="Q2" s="200" t="s">
        <v>109</v>
      </c>
    </row>
    <row r="3" spans="1:17" s="158" customFormat="1" ht="27" customHeight="1">
      <c r="A3" s="147" t="s">
        <v>88</v>
      </c>
      <c r="B3" s="148" t="s">
        <v>89</v>
      </c>
      <c r="C3" s="148" t="s">
        <v>90</v>
      </c>
      <c r="D3" s="148" t="s">
        <v>91</v>
      </c>
      <c r="E3" s="148" t="s">
        <v>92</v>
      </c>
      <c r="F3" s="149" t="s">
        <v>93</v>
      </c>
      <c r="G3" s="150" t="s">
        <v>94</v>
      </c>
      <c r="H3" s="151" t="s">
        <v>95</v>
      </c>
      <c r="I3" s="152"/>
      <c r="J3" s="153" t="s">
        <v>93</v>
      </c>
      <c r="K3" s="154"/>
      <c r="L3" s="155"/>
      <c r="M3" s="156" t="s">
        <v>94</v>
      </c>
      <c r="N3" s="157" t="s">
        <v>96</v>
      </c>
      <c r="P3" s="202">
        <v>16</v>
      </c>
      <c r="Q3" s="146" t="s">
        <v>87</v>
      </c>
    </row>
    <row r="4" spans="1:17" s="169" customFormat="1" ht="18" customHeight="1">
      <c r="A4" s="278" t="s">
        <v>14</v>
      </c>
      <c r="B4" s="317">
        <v>18.5</v>
      </c>
      <c r="C4" s="181">
        <v>36</v>
      </c>
      <c r="D4" s="161">
        <v>32</v>
      </c>
      <c r="E4" s="162"/>
      <c r="F4" s="160">
        <v>1</v>
      </c>
      <c r="G4" s="160">
        <v>10</v>
      </c>
      <c r="H4" s="163">
        <f aca="true" t="shared" si="0" ref="H4:H11">N4+I4</f>
        <v>1300000</v>
      </c>
      <c r="I4" s="164">
        <f aca="true" t="shared" si="1" ref="I4:I11">IF(E4&gt;0,$N$13,0)+IF(C4&gt;0,50000,0)+IF(C12&lt;0,50000,0)</f>
        <v>50000</v>
      </c>
      <c r="J4" s="165" t="s">
        <v>97</v>
      </c>
      <c r="K4" s="166"/>
      <c r="L4" s="167"/>
      <c r="M4" s="168">
        <v>10</v>
      </c>
      <c r="N4" s="163">
        <f>N12*25%</f>
        <v>1250000</v>
      </c>
      <c r="P4" s="159">
        <v>21</v>
      </c>
      <c r="Q4" s="146">
        <f>ROUND(P4*18/P3,0)</f>
        <v>24</v>
      </c>
    </row>
    <row r="5" spans="1:17" s="169" customFormat="1" ht="18" customHeight="1">
      <c r="A5" s="261" t="s">
        <v>50</v>
      </c>
      <c r="B5" s="318">
        <v>6.9</v>
      </c>
      <c r="C5" s="160">
        <v>31</v>
      </c>
      <c r="D5" s="161">
        <v>32</v>
      </c>
      <c r="E5" s="162"/>
      <c r="F5" s="160">
        <v>2</v>
      </c>
      <c r="G5" s="160">
        <v>8</v>
      </c>
      <c r="H5" s="163">
        <f t="shared" si="0"/>
        <v>1050000</v>
      </c>
      <c r="I5" s="164">
        <f>IF(E5&gt;0,$N$13,0)+IF(C5&gt;0,50000,0)+IF(C13&lt;0,50000,0)</f>
        <v>50000</v>
      </c>
      <c r="J5" s="170" t="s">
        <v>98</v>
      </c>
      <c r="K5" s="171"/>
      <c r="L5" s="172"/>
      <c r="M5" s="173">
        <v>8</v>
      </c>
      <c r="N5" s="163">
        <f>N12*20%</f>
        <v>1000000</v>
      </c>
      <c r="P5" s="159">
        <v>22</v>
      </c>
      <c r="Q5" s="146">
        <f>ROUND(P5*18/P3,0)</f>
        <v>25</v>
      </c>
    </row>
    <row r="6" spans="1:17" s="169" customFormat="1" ht="18" customHeight="1">
      <c r="A6" s="261" t="s">
        <v>16</v>
      </c>
      <c r="B6" s="318">
        <v>10.1</v>
      </c>
      <c r="C6" s="160">
        <v>31</v>
      </c>
      <c r="D6" s="161">
        <v>30</v>
      </c>
      <c r="E6" s="162"/>
      <c r="F6" s="64">
        <v>3</v>
      </c>
      <c r="G6" s="64">
        <v>6</v>
      </c>
      <c r="H6" s="163">
        <f t="shared" si="0"/>
        <v>800000</v>
      </c>
      <c r="I6" s="164">
        <f>IF(E6&gt;0,$N$13,0)+IF(C6&gt;0,50000,0)+IF(C14&lt;0,50000,0)</f>
        <v>50000</v>
      </c>
      <c r="J6" s="170" t="s">
        <v>99</v>
      </c>
      <c r="K6" s="171"/>
      <c r="L6" s="172"/>
      <c r="M6" s="173">
        <v>6</v>
      </c>
      <c r="N6" s="163">
        <f>N12*15%</f>
        <v>750000</v>
      </c>
      <c r="P6" s="159">
        <v>23</v>
      </c>
      <c r="Q6" s="146">
        <f>ROUND(P6*18/P3,0)</f>
        <v>26</v>
      </c>
    </row>
    <row r="7" spans="1:18" s="169" customFormat="1" ht="18" customHeight="1">
      <c r="A7" s="261" t="s">
        <v>30</v>
      </c>
      <c r="B7" s="318">
        <v>11.1</v>
      </c>
      <c r="C7" s="160">
        <v>31</v>
      </c>
      <c r="D7" s="161">
        <v>29</v>
      </c>
      <c r="E7" s="162"/>
      <c r="F7" s="160">
        <v>4</v>
      </c>
      <c r="G7" s="160">
        <v>5</v>
      </c>
      <c r="H7" s="163">
        <f t="shared" si="0"/>
        <v>650000</v>
      </c>
      <c r="I7" s="164">
        <f t="shared" si="1"/>
        <v>50000</v>
      </c>
      <c r="J7" s="170" t="s">
        <v>100</v>
      </c>
      <c r="K7" s="171"/>
      <c r="L7" s="172"/>
      <c r="M7" s="173">
        <v>5</v>
      </c>
      <c r="N7" s="163">
        <f>N12*12%</f>
        <v>600000</v>
      </c>
      <c r="O7" s="175"/>
      <c r="P7" s="159">
        <v>24</v>
      </c>
      <c r="Q7" s="146">
        <f>ROUND(P7*18/P3,0)</f>
        <v>27</v>
      </c>
      <c r="R7" s="176"/>
    </row>
    <row r="8" spans="1:17" s="169" customFormat="1" ht="18" customHeight="1">
      <c r="A8" s="261" t="s">
        <v>38</v>
      </c>
      <c r="B8" s="318">
        <v>22.9</v>
      </c>
      <c r="C8" s="160">
        <v>31</v>
      </c>
      <c r="D8" s="161">
        <v>35</v>
      </c>
      <c r="E8" s="162"/>
      <c r="F8" s="160">
        <v>5</v>
      </c>
      <c r="G8" s="160">
        <v>4</v>
      </c>
      <c r="H8" s="163">
        <f t="shared" si="0"/>
        <v>550000</v>
      </c>
      <c r="I8" s="164">
        <f t="shared" si="1"/>
        <v>50000</v>
      </c>
      <c r="J8" s="170" t="s">
        <v>101</v>
      </c>
      <c r="K8" s="171"/>
      <c r="L8" s="172"/>
      <c r="M8" s="173">
        <v>4</v>
      </c>
      <c r="N8" s="163">
        <f>N12*10%</f>
        <v>500000</v>
      </c>
      <c r="P8" s="159">
        <v>25</v>
      </c>
      <c r="Q8" s="146">
        <f>ROUND(P8*18/P3,0)</f>
        <v>28</v>
      </c>
    </row>
    <row r="9" spans="1:17" s="169" customFormat="1" ht="18" customHeight="1">
      <c r="A9" s="261" t="s">
        <v>18</v>
      </c>
      <c r="B9" s="318">
        <v>18.6</v>
      </c>
      <c r="C9" s="160">
        <v>30</v>
      </c>
      <c r="D9" s="161">
        <v>34</v>
      </c>
      <c r="E9" s="162"/>
      <c r="F9" s="178">
        <v>6</v>
      </c>
      <c r="G9" s="178">
        <v>3</v>
      </c>
      <c r="H9" s="163">
        <f t="shared" si="0"/>
        <v>450000</v>
      </c>
      <c r="I9" s="164">
        <f t="shared" si="1"/>
        <v>50000</v>
      </c>
      <c r="J9" s="170" t="s">
        <v>102</v>
      </c>
      <c r="K9" s="171"/>
      <c r="L9" s="172"/>
      <c r="M9" s="173">
        <v>3</v>
      </c>
      <c r="N9" s="163">
        <f>N12*8%</f>
        <v>400000</v>
      </c>
      <c r="P9" s="159">
        <v>26</v>
      </c>
      <c r="Q9" s="146">
        <f>ROUND(P9*18/P3,0)</f>
        <v>29</v>
      </c>
    </row>
    <row r="10" spans="1:17" s="169" customFormat="1" ht="18" customHeight="1">
      <c r="A10" s="261" t="s">
        <v>40</v>
      </c>
      <c r="B10" s="318">
        <v>14.2</v>
      </c>
      <c r="C10" s="160">
        <v>29</v>
      </c>
      <c r="D10" s="161">
        <v>35</v>
      </c>
      <c r="E10" s="162"/>
      <c r="F10" s="160">
        <v>7</v>
      </c>
      <c r="G10" s="160">
        <v>2</v>
      </c>
      <c r="H10" s="163">
        <f t="shared" si="0"/>
        <v>350000</v>
      </c>
      <c r="I10" s="164">
        <f t="shared" si="1"/>
        <v>50000</v>
      </c>
      <c r="J10" s="170" t="s">
        <v>103</v>
      </c>
      <c r="K10" s="171"/>
      <c r="L10" s="172"/>
      <c r="M10" s="173">
        <v>2</v>
      </c>
      <c r="N10" s="163">
        <f>N12*6%</f>
        <v>300000</v>
      </c>
      <c r="P10" s="159">
        <v>27</v>
      </c>
      <c r="Q10" s="146">
        <f>ROUND(P10*18/P3,0)</f>
        <v>30</v>
      </c>
    </row>
    <row r="11" spans="1:17" s="169" customFormat="1" ht="18" customHeight="1">
      <c r="A11" s="261" t="s">
        <v>26</v>
      </c>
      <c r="B11" s="318">
        <v>14.6</v>
      </c>
      <c r="C11" s="64">
        <v>29</v>
      </c>
      <c r="D11" s="161">
        <v>33</v>
      </c>
      <c r="E11" s="177"/>
      <c r="F11" s="160">
        <v>8</v>
      </c>
      <c r="G11" s="160">
        <v>1</v>
      </c>
      <c r="H11" s="163">
        <f t="shared" si="0"/>
        <v>250000</v>
      </c>
      <c r="I11" s="164">
        <f t="shared" si="1"/>
        <v>50000</v>
      </c>
      <c r="J11" s="170" t="s">
        <v>104</v>
      </c>
      <c r="K11" s="171"/>
      <c r="L11" s="172"/>
      <c r="M11" s="173">
        <v>1</v>
      </c>
      <c r="N11" s="163">
        <f>N12*4%</f>
        <v>200000</v>
      </c>
      <c r="P11" s="159">
        <v>28</v>
      </c>
      <c r="Q11" s="146">
        <f>ROUND(P11*18/P3,0)</f>
        <v>32</v>
      </c>
    </row>
    <row r="12" spans="1:17" s="169" customFormat="1" ht="18" customHeight="1">
      <c r="A12" s="261" t="s">
        <v>44</v>
      </c>
      <c r="B12" s="318">
        <v>18</v>
      </c>
      <c r="C12" s="160">
        <v>28</v>
      </c>
      <c r="D12" s="161">
        <v>38</v>
      </c>
      <c r="E12" s="177"/>
      <c r="F12" s="160"/>
      <c r="G12" s="160"/>
      <c r="H12" s="163">
        <f aca="true" t="shared" si="2" ref="H12:H27">I12</f>
        <v>50000</v>
      </c>
      <c r="I12" s="164">
        <f aca="true" t="shared" si="3" ref="I12:I27">IF(E12&gt;0,$N$13,0)+IF(C12&gt;0,50000,0)+IF(C12&lt;0,50000,0)</f>
        <v>50000</v>
      </c>
      <c r="J12" s="179" t="s">
        <v>105</v>
      </c>
      <c r="K12" s="171"/>
      <c r="L12" s="172"/>
      <c r="M12" s="173"/>
      <c r="N12" s="180">
        <v>5000000</v>
      </c>
      <c r="P12" s="159">
        <v>29</v>
      </c>
      <c r="Q12" s="146">
        <f>ROUND(P12*18/P3,0)</f>
        <v>33</v>
      </c>
    </row>
    <row r="13" spans="1:17" s="169" customFormat="1" ht="18" customHeight="1">
      <c r="A13" s="261" t="s">
        <v>34</v>
      </c>
      <c r="B13" s="318">
        <v>13.3</v>
      </c>
      <c r="C13" s="160">
        <v>26</v>
      </c>
      <c r="D13" s="161">
        <v>39</v>
      </c>
      <c r="E13" s="162">
        <v>13.4</v>
      </c>
      <c r="F13" s="160"/>
      <c r="G13" s="160"/>
      <c r="H13" s="163">
        <f t="shared" si="2"/>
        <v>350000</v>
      </c>
      <c r="I13" s="164">
        <f t="shared" si="3"/>
        <v>350000</v>
      </c>
      <c r="J13" s="182" t="s">
        <v>106</v>
      </c>
      <c r="K13" s="183"/>
      <c r="L13" s="184"/>
      <c r="M13" s="185">
        <v>1</v>
      </c>
      <c r="N13" s="186">
        <f>N10</f>
        <v>300000</v>
      </c>
      <c r="P13" s="159">
        <v>30</v>
      </c>
      <c r="Q13" s="146">
        <f>ROUND(P13*18/P3,0)</f>
        <v>34</v>
      </c>
    </row>
    <row r="14" spans="1:17" s="169" customFormat="1" ht="18" customHeight="1">
      <c r="A14" s="261" t="s">
        <v>46</v>
      </c>
      <c r="B14" s="318">
        <v>13</v>
      </c>
      <c r="C14" s="161">
        <v>25</v>
      </c>
      <c r="D14" s="161">
        <v>34</v>
      </c>
      <c r="E14" s="162"/>
      <c r="F14" s="160"/>
      <c r="G14" s="160"/>
      <c r="H14" s="163">
        <f t="shared" si="2"/>
        <v>50000</v>
      </c>
      <c r="I14" s="164">
        <f t="shared" si="3"/>
        <v>50000</v>
      </c>
      <c r="J14" s="187"/>
      <c r="K14" s="183"/>
      <c r="L14" s="183"/>
      <c r="M14" s="188"/>
      <c r="N14" s="189"/>
      <c r="P14" s="159">
        <v>31</v>
      </c>
      <c r="Q14" s="146">
        <f>ROUND(P14*18/P3,0)</f>
        <v>35</v>
      </c>
    </row>
    <row r="15" spans="1:17" s="169" customFormat="1" ht="18" customHeight="1">
      <c r="A15" s="261" t="s">
        <v>12</v>
      </c>
      <c r="B15" s="318">
        <v>13.1</v>
      </c>
      <c r="C15" s="160">
        <v>25</v>
      </c>
      <c r="D15" s="161">
        <v>38</v>
      </c>
      <c r="E15" s="162"/>
      <c r="F15" s="160"/>
      <c r="G15" s="160"/>
      <c r="H15" s="163">
        <f t="shared" si="2"/>
        <v>50000</v>
      </c>
      <c r="I15" s="164">
        <f t="shared" si="3"/>
        <v>50000</v>
      </c>
      <c r="J15" s="190"/>
      <c r="K15" s="191"/>
      <c r="L15" s="191"/>
      <c r="M15" s="192"/>
      <c r="N15" s="193"/>
      <c r="P15" s="159">
        <v>32</v>
      </c>
      <c r="Q15" s="146">
        <f>ROUND(P15*18/P3,0)</f>
        <v>36</v>
      </c>
    </row>
    <row r="16" spans="1:17" s="169" customFormat="1" ht="18" customHeight="1">
      <c r="A16" s="261" t="s">
        <v>56</v>
      </c>
      <c r="B16" s="318">
        <v>13.6</v>
      </c>
      <c r="C16" s="160">
        <v>23</v>
      </c>
      <c r="D16" s="161">
        <v>35</v>
      </c>
      <c r="E16" s="162"/>
      <c r="F16" s="64"/>
      <c r="G16" s="64"/>
      <c r="H16" s="163">
        <f t="shared" si="2"/>
        <v>50000</v>
      </c>
      <c r="I16" s="164">
        <f t="shared" si="3"/>
        <v>50000</v>
      </c>
      <c r="P16" s="159">
        <v>33</v>
      </c>
      <c r="Q16" s="146">
        <f>ROUND(P16*18/P3,0)</f>
        <v>37</v>
      </c>
    </row>
    <row r="17" spans="1:18" s="169" customFormat="1" ht="18" customHeight="1">
      <c r="A17" s="261" t="s">
        <v>20</v>
      </c>
      <c r="B17" s="318">
        <v>14.2</v>
      </c>
      <c r="C17" s="160">
        <v>22</v>
      </c>
      <c r="D17" s="161">
        <v>36</v>
      </c>
      <c r="E17" s="162"/>
      <c r="F17" s="64"/>
      <c r="G17" s="64"/>
      <c r="H17" s="163">
        <f t="shared" si="2"/>
        <v>50000</v>
      </c>
      <c r="I17" s="164">
        <f t="shared" si="3"/>
        <v>50000</v>
      </c>
      <c r="O17" s="175"/>
      <c r="P17" s="159">
        <v>34</v>
      </c>
      <c r="Q17" s="146">
        <f>ROUND(P17*18/P3,0)</f>
        <v>38</v>
      </c>
      <c r="R17" s="176"/>
    </row>
    <row r="18" spans="1:18" s="169" customFormat="1" ht="18" customHeight="1">
      <c r="A18" s="261" t="s">
        <v>24</v>
      </c>
      <c r="B18" s="318">
        <v>15.4</v>
      </c>
      <c r="C18" s="160">
        <v>21</v>
      </c>
      <c r="D18" s="161">
        <v>37</v>
      </c>
      <c r="E18" s="177"/>
      <c r="F18" s="160"/>
      <c r="G18" s="160"/>
      <c r="H18" s="163">
        <f t="shared" si="2"/>
        <v>50000</v>
      </c>
      <c r="I18" s="164">
        <f t="shared" si="3"/>
        <v>50000</v>
      </c>
      <c r="J18" s="11"/>
      <c r="K18" s="11"/>
      <c r="L18" s="11"/>
      <c r="M18" s="11"/>
      <c r="N18" s="11"/>
      <c r="O18" s="176"/>
      <c r="P18" s="159">
        <v>35</v>
      </c>
      <c r="Q18" s="146">
        <f>ROUND(P18*18/P3,0)</f>
        <v>39</v>
      </c>
      <c r="R18" s="176"/>
    </row>
    <row r="19" spans="1:18" s="169" customFormat="1" ht="18" customHeight="1">
      <c r="A19" s="261" t="s">
        <v>48</v>
      </c>
      <c r="B19" s="318">
        <v>18</v>
      </c>
      <c r="C19" s="160">
        <v>21</v>
      </c>
      <c r="D19" s="161">
        <v>38</v>
      </c>
      <c r="E19" s="177"/>
      <c r="F19" s="160"/>
      <c r="G19" s="160"/>
      <c r="H19" s="163">
        <f t="shared" si="2"/>
        <v>50000</v>
      </c>
      <c r="I19" s="164">
        <f t="shared" si="3"/>
        <v>50000</v>
      </c>
      <c r="J19" s="11"/>
      <c r="K19" s="11"/>
      <c r="L19" s="11"/>
      <c r="M19" s="11"/>
      <c r="N19" s="11"/>
      <c r="O19" s="176"/>
      <c r="P19" s="159">
        <v>36</v>
      </c>
      <c r="Q19" s="146">
        <f>ROUND(P19*18/P3,0)</f>
        <v>41</v>
      </c>
      <c r="R19" s="176"/>
    </row>
    <row r="20" spans="1:17" s="144" customFormat="1" ht="18" customHeight="1">
      <c r="A20" s="261" t="s">
        <v>28</v>
      </c>
      <c r="B20" s="318">
        <v>19.2</v>
      </c>
      <c r="C20" s="161">
        <v>19</v>
      </c>
      <c r="D20" s="161">
        <v>37</v>
      </c>
      <c r="E20" s="177"/>
      <c r="F20" s="64"/>
      <c r="G20" s="64"/>
      <c r="H20" s="163">
        <f t="shared" si="2"/>
        <v>50000</v>
      </c>
      <c r="I20" s="164">
        <f t="shared" si="3"/>
        <v>50000</v>
      </c>
      <c r="J20" s="11"/>
      <c r="K20" s="11"/>
      <c r="L20" s="11"/>
      <c r="M20" s="11"/>
      <c r="N20" s="11"/>
      <c r="P20" s="159">
        <v>37</v>
      </c>
      <c r="Q20" s="146">
        <f>ROUND(P20*18/P3,0)</f>
        <v>42</v>
      </c>
    </row>
    <row r="21" spans="1:17" s="144" customFormat="1" ht="18" customHeight="1">
      <c r="A21" s="261" t="s">
        <v>36</v>
      </c>
      <c r="B21" s="318">
        <v>13.8</v>
      </c>
      <c r="C21" s="160">
        <v>18</v>
      </c>
      <c r="D21" s="161">
        <v>43</v>
      </c>
      <c r="E21" s="162"/>
      <c r="F21" s="64"/>
      <c r="G21" s="64"/>
      <c r="H21" s="163">
        <f t="shared" si="2"/>
        <v>50000</v>
      </c>
      <c r="I21" s="164">
        <f t="shared" si="3"/>
        <v>50000</v>
      </c>
      <c r="J21" s="11"/>
      <c r="K21" s="11"/>
      <c r="L21" s="11"/>
      <c r="M21" s="11"/>
      <c r="N21" s="11"/>
      <c r="P21" s="159">
        <v>38</v>
      </c>
      <c r="Q21" s="146">
        <f>ROUND(P21*18/P3,0)</f>
        <v>43</v>
      </c>
    </row>
    <row r="22" spans="1:17" s="144" customFormat="1" ht="18" customHeight="1">
      <c r="A22" s="261"/>
      <c r="B22" s="318"/>
      <c r="C22" s="161"/>
      <c r="D22" s="161"/>
      <c r="E22" s="177"/>
      <c r="F22" s="64"/>
      <c r="G22" s="64"/>
      <c r="H22" s="163">
        <f t="shared" si="2"/>
        <v>0</v>
      </c>
      <c r="I22" s="164">
        <f t="shared" si="3"/>
        <v>0</v>
      </c>
      <c r="J22" s="11"/>
      <c r="K22" s="11"/>
      <c r="L22" s="11"/>
      <c r="M22" s="11"/>
      <c r="N22" s="11"/>
      <c r="P22" s="159">
        <v>39</v>
      </c>
      <c r="Q22" s="146">
        <f>ROUND(P22*18/P3,0)</f>
        <v>44</v>
      </c>
    </row>
    <row r="23" spans="1:17" s="144" customFormat="1" ht="18" customHeight="1">
      <c r="A23" s="261"/>
      <c r="B23" s="318"/>
      <c r="C23" s="160"/>
      <c r="D23" s="161"/>
      <c r="E23" s="162"/>
      <c r="F23" s="64"/>
      <c r="G23" s="64"/>
      <c r="H23" s="163">
        <f t="shared" si="2"/>
        <v>0</v>
      </c>
      <c r="I23" s="164">
        <f t="shared" si="3"/>
        <v>0</v>
      </c>
      <c r="J23" s="11"/>
      <c r="K23" s="11"/>
      <c r="L23" s="11"/>
      <c r="M23" s="11"/>
      <c r="N23" s="11"/>
      <c r="P23" s="159">
        <v>40</v>
      </c>
      <c r="Q23" s="146">
        <f>ROUND(P23*18/P3,0)</f>
        <v>45</v>
      </c>
    </row>
    <row r="24" spans="1:17" s="144" customFormat="1" ht="18" customHeight="1">
      <c r="A24" s="261"/>
      <c r="B24" s="318"/>
      <c r="C24" s="161"/>
      <c r="D24" s="161"/>
      <c r="E24" s="162"/>
      <c r="F24" s="64"/>
      <c r="G24" s="64"/>
      <c r="H24" s="163">
        <f t="shared" si="2"/>
        <v>0</v>
      </c>
      <c r="I24" s="164">
        <f t="shared" si="3"/>
        <v>0</v>
      </c>
      <c r="J24" s="11"/>
      <c r="K24" s="11"/>
      <c r="L24" s="11"/>
      <c r="M24" s="11"/>
      <c r="N24" s="11"/>
      <c r="P24" s="159">
        <v>41</v>
      </c>
      <c r="Q24" s="146">
        <f>ROUND(P24*18/P3,0)</f>
        <v>46</v>
      </c>
    </row>
    <row r="25" spans="1:17" s="144" customFormat="1" ht="18" customHeight="1">
      <c r="A25" s="261"/>
      <c r="B25" s="318"/>
      <c r="C25" s="161"/>
      <c r="D25" s="161"/>
      <c r="E25" s="177"/>
      <c r="F25" s="64"/>
      <c r="G25" s="64"/>
      <c r="H25" s="163">
        <f t="shared" si="2"/>
        <v>0</v>
      </c>
      <c r="I25" s="164">
        <f t="shared" si="3"/>
        <v>0</v>
      </c>
      <c r="J25" s="11"/>
      <c r="K25" s="11"/>
      <c r="L25" s="11"/>
      <c r="M25" s="11"/>
      <c r="N25" s="11"/>
      <c r="Q25" s="145"/>
    </row>
    <row r="26" spans="1:17" s="144" customFormat="1" ht="18" customHeight="1">
      <c r="A26" s="261"/>
      <c r="B26" s="318"/>
      <c r="C26" s="161"/>
      <c r="D26" s="194" t="s">
        <v>107</v>
      </c>
      <c r="E26" s="177"/>
      <c r="F26" s="160"/>
      <c r="G26" s="160"/>
      <c r="H26" s="163">
        <f t="shared" si="2"/>
        <v>0</v>
      </c>
      <c r="I26" s="164">
        <f t="shared" si="3"/>
        <v>0</v>
      </c>
      <c r="J26" s="11"/>
      <c r="K26" s="11"/>
      <c r="L26" s="11"/>
      <c r="M26" s="11"/>
      <c r="N26" s="11"/>
      <c r="Q26" s="145"/>
    </row>
    <row r="27" spans="1:17" s="144" customFormat="1" ht="18" customHeight="1">
      <c r="A27" s="261"/>
      <c r="B27" s="318"/>
      <c r="C27" s="160"/>
      <c r="D27" s="161"/>
      <c r="E27" s="162"/>
      <c r="F27" s="160"/>
      <c r="G27" s="160"/>
      <c r="H27" s="163">
        <f t="shared" si="2"/>
        <v>0</v>
      </c>
      <c r="I27" s="164">
        <f t="shared" si="3"/>
        <v>0</v>
      </c>
      <c r="J27" s="11"/>
      <c r="K27" s="11"/>
      <c r="L27" s="11"/>
      <c r="M27" s="11"/>
      <c r="N27" s="11"/>
      <c r="Q27" s="145"/>
    </row>
    <row r="28" spans="1:9" ht="24" customHeight="1">
      <c r="A28" s="1"/>
      <c r="B28" s="3"/>
      <c r="C28" s="196"/>
      <c r="D28" s="197">
        <f>SUM(D4:D27)</f>
        <v>635</v>
      </c>
      <c r="E28" s="196"/>
      <c r="F28" s="3"/>
      <c r="G28" s="198">
        <f>SUM(G4:G27)</f>
        <v>39</v>
      </c>
      <c r="H28" s="198">
        <f>SUM(H4:H27)</f>
        <v>6200000</v>
      </c>
      <c r="I28" s="19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8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="150" zoomScaleNormal="150" workbookViewId="0" topLeftCell="A1">
      <selection activeCell="A1" sqref="A1:N28"/>
    </sheetView>
  </sheetViews>
  <sheetFormatPr defaultColWidth="9.140625" defaultRowHeight="12.75"/>
  <cols>
    <col min="1" max="1" width="25.140625" style="141" customWidth="1"/>
    <col min="2" max="2" width="7.8515625" style="142" customWidth="1"/>
    <col min="3" max="3" width="8.421875" style="143" customWidth="1"/>
    <col min="4" max="4" width="6.8515625" style="142" customWidth="1"/>
    <col min="5" max="5" width="8.140625" style="142" customWidth="1"/>
    <col min="6" max="6" width="10.140625" style="142" customWidth="1"/>
    <col min="7" max="7" width="9.140625" style="142" customWidth="1"/>
    <col min="8" max="8" width="13.421875" style="142" customWidth="1"/>
    <col min="9" max="9" width="4.8515625" style="11" customWidth="1"/>
    <col min="10" max="10" width="8.421875" style="11" customWidth="1"/>
    <col min="11" max="11" width="7.00390625" style="11" customWidth="1"/>
    <col min="12" max="12" width="7.8515625" style="11" customWidth="1"/>
    <col min="13" max="13" width="7.421875" style="11" customWidth="1"/>
    <col min="14" max="14" width="12.421875" style="11" customWidth="1"/>
    <col min="15" max="15" width="7.421875" style="11" customWidth="1"/>
    <col min="16" max="16384" width="9.140625" style="11" customWidth="1"/>
  </cols>
  <sheetData>
    <row r="1" spans="2:14" s="144" customFormat="1" ht="43.5" customHeight="1">
      <c r="B1" s="419" t="s">
        <v>110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2:17" s="144" customFormat="1" ht="29.25" customHeight="1">
      <c r="B2" s="425" t="s">
        <v>338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P2" s="200" t="s">
        <v>108</v>
      </c>
      <c r="Q2" s="200" t="s">
        <v>109</v>
      </c>
    </row>
    <row r="3" spans="1:17" s="158" customFormat="1" ht="27" customHeight="1">
      <c r="A3" s="147" t="s">
        <v>88</v>
      </c>
      <c r="B3" s="148" t="s">
        <v>89</v>
      </c>
      <c r="C3" s="148" t="s">
        <v>90</v>
      </c>
      <c r="D3" s="148" t="s">
        <v>91</v>
      </c>
      <c r="E3" s="148" t="s">
        <v>92</v>
      </c>
      <c r="F3" s="149" t="s">
        <v>93</v>
      </c>
      <c r="G3" s="150" t="s">
        <v>94</v>
      </c>
      <c r="H3" s="151" t="s">
        <v>95</v>
      </c>
      <c r="I3" s="152"/>
      <c r="J3" s="153" t="s">
        <v>93</v>
      </c>
      <c r="K3" s="154"/>
      <c r="L3" s="155"/>
      <c r="M3" s="156" t="s">
        <v>94</v>
      </c>
      <c r="N3" s="157" t="s">
        <v>96</v>
      </c>
      <c r="P3" s="145">
        <v>16</v>
      </c>
      <c r="Q3" s="146" t="s">
        <v>87</v>
      </c>
    </row>
    <row r="4" spans="1:17" s="169" customFormat="1" ht="18" customHeight="1">
      <c r="A4" s="278" t="s">
        <v>56</v>
      </c>
      <c r="B4" s="317">
        <v>14.2</v>
      </c>
      <c r="C4" s="160">
        <v>38</v>
      </c>
      <c r="D4" s="181">
        <v>29</v>
      </c>
      <c r="E4" s="177"/>
      <c r="F4" s="160">
        <v>1</v>
      </c>
      <c r="G4" s="160">
        <v>10</v>
      </c>
      <c r="H4" s="163">
        <f>N4+I4</f>
        <v>1550000</v>
      </c>
      <c r="I4" s="164">
        <f aca="true" t="shared" si="0" ref="I4:I11">IF(E4&gt;0,$N$13,0)+IF(C4&gt;0,50000,0)+IF(C12&lt;0,50000,0)</f>
        <v>50000</v>
      </c>
      <c r="J4" s="165" t="s">
        <v>97</v>
      </c>
      <c r="K4" s="166"/>
      <c r="L4" s="167"/>
      <c r="M4" s="168">
        <v>10</v>
      </c>
      <c r="N4" s="163">
        <f>N12*25%</f>
        <v>1500000</v>
      </c>
      <c r="P4" s="159">
        <v>31</v>
      </c>
      <c r="Q4" s="146">
        <f>ROUND(P4*18/P3,0)</f>
        <v>35</v>
      </c>
    </row>
    <row r="5" spans="1:17" s="169" customFormat="1" ht="18" customHeight="1">
      <c r="A5" s="261" t="s">
        <v>54</v>
      </c>
      <c r="B5" s="318">
        <v>24.5</v>
      </c>
      <c r="C5" s="160">
        <v>34</v>
      </c>
      <c r="D5" s="181">
        <v>35</v>
      </c>
      <c r="E5" s="162"/>
      <c r="F5" s="160">
        <v>2</v>
      </c>
      <c r="G5" s="160">
        <v>8</v>
      </c>
      <c r="H5" s="163">
        <f aca="true" t="shared" si="1" ref="H5:H11">N5+I5</f>
        <v>1250000</v>
      </c>
      <c r="I5" s="164">
        <f t="shared" si="0"/>
        <v>50000</v>
      </c>
      <c r="J5" s="170" t="s">
        <v>98</v>
      </c>
      <c r="K5" s="171"/>
      <c r="L5" s="172"/>
      <c r="M5" s="173">
        <v>8</v>
      </c>
      <c r="N5" s="163">
        <f>N12*20%</f>
        <v>1200000</v>
      </c>
      <c r="P5" s="159">
        <v>35</v>
      </c>
      <c r="Q5" s="146">
        <f>ROUND(P5*18/P3,0)</f>
        <v>39</v>
      </c>
    </row>
    <row r="6" spans="1:17" s="169" customFormat="1" ht="18" customHeight="1">
      <c r="A6" s="261" t="s">
        <v>46</v>
      </c>
      <c r="B6" s="318">
        <v>13</v>
      </c>
      <c r="C6" s="161">
        <v>33</v>
      </c>
      <c r="D6" s="181">
        <v>32</v>
      </c>
      <c r="E6" s="177">
        <v>2.91</v>
      </c>
      <c r="F6" s="160">
        <v>3</v>
      </c>
      <c r="G6" s="64">
        <v>6</v>
      </c>
      <c r="H6" s="163">
        <f t="shared" si="1"/>
        <v>1310000</v>
      </c>
      <c r="I6" s="164">
        <f t="shared" si="0"/>
        <v>410000</v>
      </c>
      <c r="J6" s="170" t="s">
        <v>99</v>
      </c>
      <c r="K6" s="171"/>
      <c r="L6" s="172"/>
      <c r="M6" s="173">
        <v>6</v>
      </c>
      <c r="N6" s="163">
        <f>N12*15%</f>
        <v>900000</v>
      </c>
      <c r="P6" s="159">
        <v>29</v>
      </c>
      <c r="Q6" s="146">
        <f>ROUND(P6*18/P3,0)</f>
        <v>33</v>
      </c>
    </row>
    <row r="7" spans="1:18" s="169" customFormat="1" ht="18" customHeight="1">
      <c r="A7" s="261" t="s">
        <v>40</v>
      </c>
      <c r="B7" s="318">
        <v>14.2</v>
      </c>
      <c r="C7" s="160">
        <v>31</v>
      </c>
      <c r="D7" s="181">
        <v>29</v>
      </c>
      <c r="E7" s="162"/>
      <c r="F7" s="160">
        <v>4</v>
      </c>
      <c r="G7" s="160">
        <v>5</v>
      </c>
      <c r="H7" s="163">
        <f t="shared" si="1"/>
        <v>770000</v>
      </c>
      <c r="I7" s="164">
        <f t="shared" si="0"/>
        <v>50000</v>
      </c>
      <c r="J7" s="170" t="s">
        <v>100</v>
      </c>
      <c r="K7" s="171"/>
      <c r="L7" s="172"/>
      <c r="M7" s="173">
        <v>5</v>
      </c>
      <c r="N7" s="163">
        <f>N12*12%</f>
        <v>720000</v>
      </c>
      <c r="O7" s="175"/>
      <c r="P7" s="159">
        <v>32</v>
      </c>
      <c r="Q7" s="146">
        <f>ROUND(P7*18/P3,0)</f>
        <v>36</v>
      </c>
      <c r="R7" s="176"/>
    </row>
    <row r="8" spans="1:17" s="169" customFormat="1" ht="18" customHeight="1">
      <c r="A8" s="261" t="s">
        <v>52</v>
      </c>
      <c r="B8" s="318">
        <v>11.4</v>
      </c>
      <c r="C8" s="160">
        <v>29</v>
      </c>
      <c r="D8" s="181">
        <v>36</v>
      </c>
      <c r="E8" s="162"/>
      <c r="F8" s="160">
        <v>5</v>
      </c>
      <c r="G8" s="160">
        <v>4</v>
      </c>
      <c r="H8" s="163">
        <f t="shared" si="1"/>
        <v>650000</v>
      </c>
      <c r="I8" s="164">
        <f t="shared" si="0"/>
        <v>50000</v>
      </c>
      <c r="J8" s="170" t="s">
        <v>101</v>
      </c>
      <c r="K8" s="171"/>
      <c r="L8" s="172"/>
      <c r="M8" s="173">
        <v>4</v>
      </c>
      <c r="N8" s="163">
        <f>N12*10%</f>
        <v>600000</v>
      </c>
      <c r="P8" s="159">
        <v>27</v>
      </c>
      <c r="Q8" s="146">
        <f>ROUND(P8*18/P3,0)</f>
        <v>30</v>
      </c>
    </row>
    <row r="9" spans="1:17" s="169" customFormat="1" ht="18" customHeight="1">
      <c r="A9" s="261" t="s">
        <v>44</v>
      </c>
      <c r="B9" s="318">
        <v>18</v>
      </c>
      <c r="C9" s="160">
        <v>29</v>
      </c>
      <c r="D9" s="181">
        <v>32</v>
      </c>
      <c r="E9" s="177"/>
      <c r="F9" s="160">
        <v>6</v>
      </c>
      <c r="G9" s="178">
        <v>3</v>
      </c>
      <c r="H9" s="163">
        <f t="shared" si="1"/>
        <v>530000</v>
      </c>
      <c r="I9" s="164">
        <f t="shared" si="0"/>
        <v>50000</v>
      </c>
      <c r="J9" s="170" t="s">
        <v>102</v>
      </c>
      <c r="K9" s="171"/>
      <c r="L9" s="172"/>
      <c r="M9" s="173">
        <v>3</v>
      </c>
      <c r="N9" s="163">
        <f>N12*8%</f>
        <v>480000</v>
      </c>
      <c r="P9" s="159">
        <v>32</v>
      </c>
      <c r="Q9" s="146">
        <f>ROUND(P9*18/P3,0)</f>
        <v>36</v>
      </c>
    </row>
    <row r="10" spans="1:17" s="169" customFormat="1" ht="18" customHeight="1">
      <c r="A10" s="261" t="s">
        <v>36</v>
      </c>
      <c r="B10" s="318">
        <v>13.8</v>
      </c>
      <c r="C10" s="160">
        <v>28</v>
      </c>
      <c r="D10" s="181">
        <v>36</v>
      </c>
      <c r="E10" s="162"/>
      <c r="F10" s="160">
        <v>7</v>
      </c>
      <c r="G10" s="160">
        <v>2</v>
      </c>
      <c r="H10" s="163">
        <f t="shared" si="1"/>
        <v>410000</v>
      </c>
      <c r="I10" s="164">
        <f t="shared" si="0"/>
        <v>50000</v>
      </c>
      <c r="J10" s="170" t="s">
        <v>103</v>
      </c>
      <c r="K10" s="171"/>
      <c r="L10" s="172"/>
      <c r="M10" s="173">
        <v>2</v>
      </c>
      <c r="N10" s="163">
        <f>N12*6%</f>
        <v>360000</v>
      </c>
      <c r="P10" s="159">
        <v>34</v>
      </c>
      <c r="Q10" s="146">
        <f>ROUND(P10*18/P3,0)</f>
        <v>38</v>
      </c>
    </row>
    <row r="11" spans="1:17" s="169" customFormat="1" ht="18" customHeight="1">
      <c r="A11" s="261" t="s">
        <v>20</v>
      </c>
      <c r="B11" s="318">
        <v>14.1</v>
      </c>
      <c r="C11" s="160">
        <v>28</v>
      </c>
      <c r="D11" s="181">
        <v>33</v>
      </c>
      <c r="E11" s="177"/>
      <c r="F11" s="160">
        <v>8</v>
      </c>
      <c r="G11" s="160">
        <v>1</v>
      </c>
      <c r="H11" s="163">
        <f t="shared" si="1"/>
        <v>290000</v>
      </c>
      <c r="I11" s="164">
        <f t="shared" si="0"/>
        <v>50000</v>
      </c>
      <c r="J11" s="170" t="s">
        <v>104</v>
      </c>
      <c r="K11" s="171"/>
      <c r="L11" s="172"/>
      <c r="M11" s="173">
        <v>1</v>
      </c>
      <c r="N11" s="163">
        <f>N12*4%</f>
        <v>240000</v>
      </c>
      <c r="P11" s="159">
        <v>26</v>
      </c>
      <c r="Q11" s="146">
        <f>ROUND(P11*18/P3,0)</f>
        <v>29</v>
      </c>
    </row>
    <row r="12" spans="1:17" s="169" customFormat="1" ht="18" customHeight="1">
      <c r="A12" s="261" t="s">
        <v>38</v>
      </c>
      <c r="B12" s="318">
        <v>22.8</v>
      </c>
      <c r="C12" s="64">
        <v>28</v>
      </c>
      <c r="D12" s="181">
        <v>38</v>
      </c>
      <c r="E12" s="162"/>
      <c r="F12" s="160"/>
      <c r="G12" s="160"/>
      <c r="H12" s="163">
        <f aca="true" t="shared" si="2" ref="H12:H27">I12</f>
        <v>50000</v>
      </c>
      <c r="I12" s="164">
        <f aca="true" t="shared" si="3" ref="I12:I27">IF(E12&gt;0,$N$13,0)+IF(C12&gt;0,50000,0)+IF(C12&lt;0,50000,0)</f>
        <v>50000</v>
      </c>
      <c r="J12" s="179" t="s">
        <v>105</v>
      </c>
      <c r="K12" s="171"/>
      <c r="L12" s="172"/>
      <c r="M12" s="173"/>
      <c r="N12" s="180">
        <v>6000000</v>
      </c>
      <c r="P12" s="159">
        <v>28</v>
      </c>
      <c r="Q12" s="146">
        <f>ROUND(P12*18/P3,0)</f>
        <v>32</v>
      </c>
    </row>
    <row r="13" spans="1:17" s="169" customFormat="1" ht="18" customHeight="1">
      <c r="A13" s="261" t="s">
        <v>32</v>
      </c>
      <c r="B13" s="318">
        <v>12.5</v>
      </c>
      <c r="C13" s="160">
        <v>27</v>
      </c>
      <c r="D13" s="181">
        <v>30</v>
      </c>
      <c r="E13" s="177"/>
      <c r="F13" s="160"/>
      <c r="G13" s="160"/>
      <c r="H13" s="163">
        <f t="shared" si="2"/>
        <v>50000</v>
      </c>
      <c r="I13" s="164">
        <f t="shared" si="3"/>
        <v>50000</v>
      </c>
      <c r="J13" s="182" t="s">
        <v>106</v>
      </c>
      <c r="K13" s="183"/>
      <c r="L13" s="184"/>
      <c r="M13" s="185">
        <v>1</v>
      </c>
      <c r="N13" s="186">
        <f>N10</f>
        <v>360000</v>
      </c>
      <c r="P13" s="159">
        <v>28</v>
      </c>
      <c r="Q13" s="146">
        <f>ROUND(P13*18/P3,0)</f>
        <v>32</v>
      </c>
    </row>
    <row r="14" spans="1:17" s="169" customFormat="1" ht="18" customHeight="1">
      <c r="A14" s="261" t="s">
        <v>16</v>
      </c>
      <c r="B14" s="318">
        <v>10.1</v>
      </c>
      <c r="C14" s="160">
        <v>24</v>
      </c>
      <c r="D14" s="181">
        <v>35</v>
      </c>
      <c r="E14" s="177"/>
      <c r="F14" s="160"/>
      <c r="G14" s="160"/>
      <c r="H14" s="163">
        <f t="shared" si="2"/>
        <v>50000</v>
      </c>
      <c r="I14" s="164">
        <f t="shared" si="3"/>
        <v>50000</v>
      </c>
      <c r="J14" s="187"/>
      <c r="K14" s="183"/>
      <c r="L14" s="183"/>
      <c r="M14" s="188"/>
      <c r="N14" s="189"/>
      <c r="P14" s="159">
        <v>36</v>
      </c>
      <c r="Q14" s="146">
        <f>ROUND(P14*18/P3,0)</f>
        <v>41</v>
      </c>
    </row>
    <row r="15" spans="1:17" s="169" customFormat="1" ht="18" customHeight="1">
      <c r="A15" s="261" t="s">
        <v>48</v>
      </c>
      <c r="B15" s="318">
        <v>17.9</v>
      </c>
      <c r="C15" s="161">
        <v>24</v>
      </c>
      <c r="D15" s="181">
        <v>41</v>
      </c>
      <c r="E15" s="162"/>
      <c r="F15" s="160"/>
      <c r="G15" s="160"/>
      <c r="H15" s="163">
        <f t="shared" si="2"/>
        <v>50000</v>
      </c>
      <c r="I15" s="164">
        <f t="shared" si="3"/>
        <v>50000</v>
      </c>
      <c r="J15" s="190"/>
      <c r="K15" s="191"/>
      <c r="L15" s="191"/>
      <c r="M15" s="192"/>
      <c r="N15" s="193"/>
      <c r="P15" s="159">
        <v>32</v>
      </c>
      <c r="Q15" s="146">
        <f>ROUND(P15*18/P3,0)</f>
        <v>36</v>
      </c>
    </row>
    <row r="16" spans="1:17" s="169" customFormat="1" ht="18" customHeight="1">
      <c r="A16" s="261" t="s">
        <v>30</v>
      </c>
      <c r="B16" s="318">
        <v>11.1</v>
      </c>
      <c r="C16" s="181">
        <v>22</v>
      </c>
      <c r="D16" s="181">
        <v>36</v>
      </c>
      <c r="E16" s="162"/>
      <c r="F16" s="64"/>
      <c r="G16" s="64"/>
      <c r="H16" s="163">
        <f t="shared" si="2"/>
        <v>50000</v>
      </c>
      <c r="I16" s="164">
        <f t="shared" si="3"/>
        <v>50000</v>
      </c>
      <c r="P16" s="159">
        <v>31</v>
      </c>
      <c r="Q16" s="146">
        <f>ROUND(P16*18/P3,0)</f>
        <v>35</v>
      </c>
    </row>
    <row r="17" spans="1:18" s="169" customFormat="1" ht="18" customHeight="1">
      <c r="A17" s="261" t="s">
        <v>18</v>
      </c>
      <c r="B17" s="318">
        <v>18.6</v>
      </c>
      <c r="C17" s="160">
        <v>22</v>
      </c>
      <c r="D17" s="181">
        <v>39</v>
      </c>
      <c r="E17" s="162"/>
      <c r="F17" s="64"/>
      <c r="G17" s="64"/>
      <c r="H17" s="163">
        <f t="shared" si="2"/>
        <v>50000</v>
      </c>
      <c r="I17" s="164">
        <f t="shared" si="3"/>
        <v>50000</v>
      </c>
      <c r="O17" s="175"/>
      <c r="P17" s="159">
        <v>26</v>
      </c>
      <c r="Q17" s="146">
        <f>ROUND(P17*18/P3,0)</f>
        <v>29</v>
      </c>
      <c r="R17" s="176"/>
    </row>
    <row r="18" spans="1:17" s="169" customFormat="1" ht="18" customHeight="1">
      <c r="A18" s="261"/>
      <c r="B18" s="318"/>
      <c r="C18" s="160"/>
      <c r="D18" s="181"/>
      <c r="E18" s="162"/>
      <c r="F18" s="160"/>
      <c r="G18" s="160"/>
      <c r="H18" s="163">
        <f t="shared" si="2"/>
        <v>0</v>
      </c>
      <c r="I18" s="164">
        <f t="shared" si="3"/>
        <v>0</v>
      </c>
      <c r="J18" s="176"/>
      <c r="K18" s="176"/>
      <c r="L18" s="176"/>
      <c r="P18" s="159"/>
      <c r="Q18" s="146">
        <f>ROUND(P18*18/P3,0)</f>
        <v>0</v>
      </c>
    </row>
    <row r="19" spans="1:17" s="169" customFormat="1" ht="18" customHeight="1">
      <c r="A19" s="261"/>
      <c r="B19" s="318"/>
      <c r="C19" s="160"/>
      <c r="D19" s="181"/>
      <c r="E19" s="162"/>
      <c r="F19" s="160"/>
      <c r="G19" s="160"/>
      <c r="H19" s="163">
        <f t="shared" si="2"/>
        <v>0</v>
      </c>
      <c r="I19" s="164">
        <f t="shared" si="3"/>
        <v>0</v>
      </c>
      <c r="J19" s="176"/>
      <c r="K19" s="176"/>
      <c r="L19" s="176"/>
      <c r="P19" s="159"/>
      <c r="Q19" s="146">
        <f>ROUND(P19*18/P3,0)</f>
        <v>0</v>
      </c>
    </row>
    <row r="20" spans="1:17" s="144" customFormat="1" ht="18" customHeight="1">
      <c r="A20" s="261"/>
      <c r="B20" s="318"/>
      <c r="C20" s="161"/>
      <c r="D20" s="181"/>
      <c r="E20" s="162"/>
      <c r="F20" s="64"/>
      <c r="G20" s="64"/>
      <c r="H20" s="163">
        <f t="shared" si="2"/>
        <v>0</v>
      </c>
      <c r="I20" s="164">
        <f t="shared" si="3"/>
        <v>0</v>
      </c>
      <c r="P20" s="159"/>
      <c r="Q20" s="146">
        <f>ROUND(P20*18/P3,0)</f>
        <v>0</v>
      </c>
    </row>
    <row r="21" spans="1:17" s="144" customFormat="1" ht="18" customHeight="1">
      <c r="A21" s="261"/>
      <c r="B21" s="318"/>
      <c r="C21" s="160"/>
      <c r="D21" s="181"/>
      <c r="E21" s="162"/>
      <c r="F21" s="64"/>
      <c r="G21" s="64"/>
      <c r="H21" s="163">
        <f t="shared" si="2"/>
        <v>0</v>
      </c>
      <c r="I21" s="164">
        <f t="shared" si="3"/>
        <v>0</v>
      </c>
      <c r="P21" s="159"/>
      <c r="Q21" s="146">
        <f>ROUND(P21*18/P3,0)</f>
        <v>0</v>
      </c>
    </row>
    <row r="22" spans="1:17" s="144" customFormat="1" ht="18" customHeight="1">
      <c r="A22" s="261"/>
      <c r="B22" s="318"/>
      <c r="C22" s="160"/>
      <c r="D22" s="161"/>
      <c r="E22" s="162"/>
      <c r="F22" s="64"/>
      <c r="G22" s="64"/>
      <c r="H22" s="163">
        <f t="shared" si="2"/>
        <v>0</v>
      </c>
      <c r="I22" s="164">
        <f t="shared" si="3"/>
        <v>0</v>
      </c>
      <c r="P22" s="159"/>
      <c r="Q22" s="146">
        <f>ROUND(P22*18/P3,0)</f>
        <v>0</v>
      </c>
    </row>
    <row r="23" spans="1:17" s="144" customFormat="1" ht="18" customHeight="1">
      <c r="A23" s="261"/>
      <c r="B23" s="318"/>
      <c r="C23" s="160"/>
      <c r="D23" s="181"/>
      <c r="E23" s="162"/>
      <c r="F23" s="64"/>
      <c r="G23" s="64"/>
      <c r="H23" s="163">
        <f t="shared" si="2"/>
        <v>0</v>
      </c>
      <c r="I23" s="164">
        <f t="shared" si="3"/>
        <v>0</v>
      </c>
      <c r="P23" s="159"/>
      <c r="Q23" s="146">
        <f>ROUND(P23*18/P3,0)</f>
        <v>0</v>
      </c>
    </row>
    <row r="24" spans="1:17" s="144" customFormat="1" ht="18" customHeight="1">
      <c r="A24" s="261"/>
      <c r="B24" s="318"/>
      <c r="C24" s="161"/>
      <c r="D24" s="161"/>
      <c r="E24" s="162"/>
      <c r="F24" s="64"/>
      <c r="G24" s="64"/>
      <c r="H24" s="163">
        <f t="shared" si="2"/>
        <v>0</v>
      </c>
      <c r="I24" s="164">
        <f t="shared" si="3"/>
        <v>0</v>
      </c>
      <c r="P24" s="159"/>
      <c r="Q24" s="146">
        <f>ROUND(P24*18/P3,0)</f>
        <v>0</v>
      </c>
    </row>
    <row r="25" spans="1:17" s="144" customFormat="1" ht="18" customHeight="1">
      <c r="A25" s="261"/>
      <c r="B25" s="318"/>
      <c r="C25" s="161"/>
      <c r="D25" s="161"/>
      <c r="E25" s="177"/>
      <c r="F25" s="64"/>
      <c r="G25" s="64"/>
      <c r="H25" s="163">
        <f t="shared" si="2"/>
        <v>0</v>
      </c>
      <c r="I25" s="164">
        <f t="shared" si="3"/>
        <v>0</v>
      </c>
      <c r="Q25" s="146"/>
    </row>
    <row r="26" spans="1:17" s="144" customFormat="1" ht="18" customHeight="1">
      <c r="A26" s="261"/>
      <c r="B26" s="318"/>
      <c r="C26" s="161"/>
      <c r="D26" s="194" t="s">
        <v>107</v>
      </c>
      <c r="E26" s="177"/>
      <c r="F26" s="160"/>
      <c r="G26" s="160"/>
      <c r="H26" s="163">
        <f t="shared" si="2"/>
        <v>0</v>
      </c>
      <c r="I26" s="164">
        <f t="shared" si="3"/>
        <v>0</v>
      </c>
      <c r="Q26" s="146"/>
    </row>
    <row r="27" spans="1:17" s="144" customFormat="1" ht="18" customHeight="1">
      <c r="A27" s="261"/>
      <c r="B27" s="318"/>
      <c r="C27" s="160"/>
      <c r="D27" s="161"/>
      <c r="E27" s="162"/>
      <c r="F27" s="160"/>
      <c r="G27" s="160"/>
      <c r="H27" s="163">
        <f t="shared" si="2"/>
        <v>0</v>
      </c>
      <c r="I27" s="164">
        <f t="shared" si="3"/>
        <v>0</v>
      </c>
      <c r="Q27" s="146"/>
    </row>
    <row r="28" spans="1:9" ht="24" customHeight="1">
      <c r="A28" s="1"/>
      <c r="B28" s="3"/>
      <c r="C28" s="196"/>
      <c r="D28" s="197">
        <f>SUM(D4:D27)</f>
        <v>481</v>
      </c>
      <c r="E28" s="196"/>
      <c r="F28" s="3"/>
      <c r="G28" s="198">
        <f>SUM(G4:G27)</f>
        <v>39</v>
      </c>
      <c r="H28" s="198">
        <f>SUM(H4:H27)</f>
        <v>7060000</v>
      </c>
      <c r="I28" s="19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8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="150" zoomScaleNormal="150" workbookViewId="0" topLeftCell="A1">
      <selection activeCell="B1" sqref="B1:N1"/>
    </sheetView>
  </sheetViews>
  <sheetFormatPr defaultColWidth="9.140625" defaultRowHeight="12.75"/>
  <cols>
    <col min="1" max="1" width="25.140625" style="141" customWidth="1"/>
    <col min="2" max="2" width="7.8515625" style="142" customWidth="1"/>
    <col min="3" max="3" width="8.421875" style="143" customWidth="1"/>
    <col min="4" max="4" width="6.8515625" style="142" customWidth="1"/>
    <col min="5" max="5" width="8.140625" style="142" customWidth="1"/>
    <col min="6" max="6" width="10.140625" style="142" customWidth="1"/>
    <col min="7" max="7" width="9.140625" style="142" customWidth="1"/>
    <col min="8" max="8" width="13.421875" style="142" customWidth="1"/>
    <col min="9" max="9" width="4.8515625" style="11" customWidth="1"/>
    <col min="10" max="10" width="8.421875" style="11" customWidth="1"/>
    <col min="11" max="11" width="7.00390625" style="11" customWidth="1"/>
    <col min="12" max="12" width="7.8515625" style="11" customWidth="1"/>
    <col min="13" max="13" width="7.421875" style="11" customWidth="1"/>
    <col min="14" max="14" width="12.421875" style="11" customWidth="1"/>
    <col min="15" max="15" width="7.421875" style="11" customWidth="1"/>
    <col min="16" max="16384" width="9.140625" style="11" customWidth="1"/>
  </cols>
  <sheetData>
    <row r="1" spans="2:14" s="144" customFormat="1" ht="42.75" customHeight="1">
      <c r="B1" s="419" t="s">
        <v>206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2:14" s="144" customFormat="1" ht="29.25" customHeight="1">
      <c r="B2" s="425" t="s">
        <v>318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4" s="158" customFormat="1" ht="27" customHeight="1">
      <c r="A3" s="147" t="s">
        <v>88</v>
      </c>
      <c r="B3" s="148" t="s">
        <v>89</v>
      </c>
      <c r="C3" s="148" t="s">
        <v>90</v>
      </c>
      <c r="D3" s="148" t="s">
        <v>91</v>
      </c>
      <c r="E3" s="148" t="s">
        <v>92</v>
      </c>
      <c r="F3" s="149" t="s">
        <v>93</v>
      </c>
      <c r="G3" s="150" t="s">
        <v>94</v>
      </c>
      <c r="H3" s="151" t="s">
        <v>95</v>
      </c>
      <c r="I3" s="152"/>
      <c r="J3" s="153" t="s">
        <v>93</v>
      </c>
      <c r="K3" s="154"/>
      <c r="L3" s="155"/>
      <c r="M3" s="156" t="s">
        <v>94</v>
      </c>
      <c r="N3" s="157" t="s">
        <v>96</v>
      </c>
    </row>
    <row r="4" spans="1:14" s="169" customFormat="1" ht="18" customHeight="1">
      <c r="A4" s="278" t="s">
        <v>50</v>
      </c>
      <c r="B4" s="317">
        <v>7.7</v>
      </c>
      <c r="C4" s="181">
        <v>39</v>
      </c>
      <c r="D4" s="161">
        <v>31</v>
      </c>
      <c r="E4" s="177"/>
      <c r="F4" s="160">
        <v>1</v>
      </c>
      <c r="G4" s="160">
        <v>10</v>
      </c>
      <c r="H4" s="163">
        <f aca="true" t="shared" si="0" ref="H4:H11">N4+I4</f>
        <v>1300000</v>
      </c>
      <c r="I4" s="164">
        <f>2*IF(E4&gt;0,$N$13,0)+IF(C4&gt;0,50000,0)+IF(C12&lt;0,50000,0)</f>
        <v>50000</v>
      </c>
      <c r="J4" s="165" t="s">
        <v>97</v>
      </c>
      <c r="K4" s="166"/>
      <c r="L4" s="167"/>
      <c r="M4" s="168">
        <v>10</v>
      </c>
      <c r="N4" s="163">
        <f>N12*25%</f>
        <v>1250000</v>
      </c>
    </row>
    <row r="5" spans="1:14" s="169" customFormat="1" ht="18" customHeight="1">
      <c r="A5" s="261" t="s">
        <v>20</v>
      </c>
      <c r="B5" s="318">
        <v>14.9</v>
      </c>
      <c r="C5" s="161">
        <v>34</v>
      </c>
      <c r="D5" s="181">
        <v>31</v>
      </c>
      <c r="E5" s="162"/>
      <c r="F5" s="160">
        <v>2</v>
      </c>
      <c r="G5" s="160">
        <v>8</v>
      </c>
      <c r="H5" s="163">
        <f t="shared" si="0"/>
        <v>1050000</v>
      </c>
      <c r="I5" s="164">
        <f>IF(E5&gt;0,$N$13,0)+IF(C5&gt;0,50000,0)+IF(C13&lt;0,50000,0)</f>
        <v>50000</v>
      </c>
      <c r="J5" s="170" t="s">
        <v>98</v>
      </c>
      <c r="K5" s="171"/>
      <c r="L5" s="172"/>
      <c r="M5" s="173">
        <v>8</v>
      </c>
      <c r="N5" s="163">
        <f>N12*20%</f>
        <v>1000000</v>
      </c>
    </row>
    <row r="6" spans="1:14" s="169" customFormat="1" ht="18" customHeight="1">
      <c r="A6" s="261" t="s">
        <v>10</v>
      </c>
      <c r="B6" s="318">
        <v>22.9</v>
      </c>
      <c r="C6" s="161">
        <v>34</v>
      </c>
      <c r="D6" s="161">
        <v>36</v>
      </c>
      <c r="E6" s="177"/>
      <c r="F6" s="64">
        <v>3</v>
      </c>
      <c r="G6" s="64">
        <v>6</v>
      </c>
      <c r="H6" s="163">
        <f t="shared" si="0"/>
        <v>800000</v>
      </c>
      <c r="I6" s="164">
        <f aca="true" t="shared" si="1" ref="I6:I11">IF(E6&gt;0,$N$13,0)+IF(C6&gt;0,50000,0)+IF(C14&lt;0,50000,0)</f>
        <v>50000</v>
      </c>
      <c r="J6" s="170" t="s">
        <v>99</v>
      </c>
      <c r="K6" s="171"/>
      <c r="L6" s="172"/>
      <c r="M6" s="173">
        <v>6</v>
      </c>
      <c r="N6" s="163">
        <f>N12*15%</f>
        <v>750000</v>
      </c>
    </row>
    <row r="7" spans="1:18" s="169" customFormat="1" ht="18" customHeight="1">
      <c r="A7" s="261" t="s">
        <v>44</v>
      </c>
      <c r="B7" s="318">
        <v>18</v>
      </c>
      <c r="C7" s="161">
        <v>31</v>
      </c>
      <c r="D7" s="161">
        <v>38</v>
      </c>
      <c r="E7" s="177">
        <v>4.55</v>
      </c>
      <c r="F7" s="160">
        <v>4</v>
      </c>
      <c r="G7" s="160">
        <v>5</v>
      </c>
      <c r="H7" s="163">
        <v>750000</v>
      </c>
      <c r="I7" s="164">
        <f t="shared" si="1"/>
        <v>350000</v>
      </c>
      <c r="J7" s="170" t="s">
        <v>100</v>
      </c>
      <c r="K7" s="171"/>
      <c r="L7" s="172"/>
      <c r="M7" s="173">
        <v>5</v>
      </c>
      <c r="N7" s="163">
        <f>N12*12%</f>
        <v>600000</v>
      </c>
      <c r="O7" s="175"/>
      <c r="P7" s="175"/>
      <c r="Q7" s="175"/>
      <c r="R7" s="176"/>
    </row>
    <row r="8" spans="1:14" s="169" customFormat="1" ht="18" customHeight="1">
      <c r="A8" s="261" t="s">
        <v>32</v>
      </c>
      <c r="B8" s="318">
        <v>12.3</v>
      </c>
      <c r="C8" s="160">
        <v>30</v>
      </c>
      <c r="D8" s="181">
        <v>36</v>
      </c>
      <c r="E8" s="162"/>
      <c r="F8" s="160">
        <v>5</v>
      </c>
      <c r="G8" s="160">
        <v>4</v>
      </c>
      <c r="H8" s="163">
        <f t="shared" si="0"/>
        <v>550000</v>
      </c>
      <c r="I8" s="164">
        <f t="shared" si="1"/>
        <v>50000</v>
      </c>
      <c r="J8" s="170" t="s">
        <v>101</v>
      </c>
      <c r="K8" s="171"/>
      <c r="L8" s="172"/>
      <c r="M8" s="173">
        <v>4</v>
      </c>
      <c r="N8" s="163">
        <f>N12*10%</f>
        <v>500000</v>
      </c>
    </row>
    <row r="9" spans="1:14" s="169" customFormat="1" ht="18" customHeight="1">
      <c r="A9" s="261" t="s">
        <v>30</v>
      </c>
      <c r="B9" s="318">
        <v>10.9</v>
      </c>
      <c r="C9" s="160">
        <v>29</v>
      </c>
      <c r="D9" s="181">
        <v>35</v>
      </c>
      <c r="E9" s="177"/>
      <c r="F9" s="178">
        <v>6</v>
      </c>
      <c r="G9" s="178">
        <v>3</v>
      </c>
      <c r="H9" s="163">
        <f t="shared" si="0"/>
        <v>450000</v>
      </c>
      <c r="I9" s="164">
        <f t="shared" si="1"/>
        <v>50000</v>
      </c>
      <c r="J9" s="170" t="s">
        <v>102</v>
      </c>
      <c r="K9" s="171"/>
      <c r="L9" s="172"/>
      <c r="M9" s="173">
        <v>3</v>
      </c>
      <c r="N9" s="163">
        <f>N12*8%</f>
        <v>400000</v>
      </c>
    </row>
    <row r="10" spans="1:14" s="169" customFormat="1" ht="18" customHeight="1">
      <c r="A10" s="261" t="s">
        <v>18</v>
      </c>
      <c r="B10" s="318">
        <v>18.5</v>
      </c>
      <c r="C10" s="160">
        <v>29</v>
      </c>
      <c r="D10" s="161">
        <v>35</v>
      </c>
      <c r="E10" s="162"/>
      <c r="F10" s="160">
        <v>7</v>
      </c>
      <c r="G10" s="160">
        <v>2</v>
      </c>
      <c r="H10" s="163">
        <f t="shared" si="0"/>
        <v>350000</v>
      </c>
      <c r="I10" s="164">
        <f t="shared" si="1"/>
        <v>50000</v>
      </c>
      <c r="J10" s="170" t="s">
        <v>103</v>
      </c>
      <c r="K10" s="171"/>
      <c r="L10" s="172"/>
      <c r="M10" s="173">
        <v>2</v>
      </c>
      <c r="N10" s="163">
        <f>N12*6%</f>
        <v>300000</v>
      </c>
    </row>
    <row r="11" spans="1:14" s="169" customFormat="1" ht="18" customHeight="1">
      <c r="A11" s="261" t="s">
        <v>12</v>
      </c>
      <c r="B11" s="318">
        <v>12.9</v>
      </c>
      <c r="C11" s="160">
        <v>28</v>
      </c>
      <c r="D11" s="161">
        <v>36</v>
      </c>
      <c r="E11" s="162"/>
      <c r="F11" s="160">
        <v>8</v>
      </c>
      <c r="G11" s="160">
        <v>1</v>
      </c>
      <c r="H11" s="163">
        <f t="shared" si="0"/>
        <v>250000</v>
      </c>
      <c r="I11" s="164">
        <f t="shared" si="1"/>
        <v>50000</v>
      </c>
      <c r="J11" s="170" t="s">
        <v>104</v>
      </c>
      <c r="K11" s="171"/>
      <c r="L11" s="172"/>
      <c r="M11" s="173">
        <v>1</v>
      </c>
      <c r="N11" s="163">
        <f>N12*4%</f>
        <v>200000</v>
      </c>
    </row>
    <row r="12" spans="1:14" s="169" customFormat="1" ht="18" customHeight="1">
      <c r="A12" s="261" t="s">
        <v>46</v>
      </c>
      <c r="B12" s="318">
        <v>13.3</v>
      </c>
      <c r="C12" s="160">
        <v>28</v>
      </c>
      <c r="D12" s="181">
        <v>36</v>
      </c>
      <c r="E12" s="162"/>
      <c r="F12" s="160"/>
      <c r="G12" s="160"/>
      <c r="H12" s="163">
        <f aca="true" t="shared" si="2" ref="H12:H27">I12</f>
        <v>50000</v>
      </c>
      <c r="I12" s="164">
        <f aca="true" t="shared" si="3" ref="I12:I27">IF(E12&gt;0,$N$13,0)+IF(C12&gt;0,50000,0)+IF(C12&lt;0,50000,0)</f>
        <v>50000</v>
      </c>
      <c r="J12" s="179" t="s">
        <v>105</v>
      </c>
      <c r="K12" s="171"/>
      <c r="L12" s="172"/>
      <c r="M12" s="173"/>
      <c r="N12" s="180">
        <v>5000000</v>
      </c>
    </row>
    <row r="13" spans="1:14" s="169" customFormat="1" ht="18" customHeight="1">
      <c r="A13" s="261" t="s">
        <v>24</v>
      </c>
      <c r="B13" s="318">
        <v>15.3</v>
      </c>
      <c r="C13" s="161">
        <v>26</v>
      </c>
      <c r="D13" s="181">
        <v>41</v>
      </c>
      <c r="E13" s="162"/>
      <c r="F13" s="160"/>
      <c r="G13" s="160"/>
      <c r="H13" s="163">
        <f t="shared" si="2"/>
        <v>50000</v>
      </c>
      <c r="I13" s="164">
        <f t="shared" si="3"/>
        <v>50000</v>
      </c>
      <c r="J13" s="182" t="s">
        <v>106</v>
      </c>
      <c r="K13" s="183"/>
      <c r="L13" s="184"/>
      <c r="M13" s="185">
        <v>1</v>
      </c>
      <c r="N13" s="186">
        <f>N10</f>
        <v>300000</v>
      </c>
    </row>
    <row r="14" spans="1:14" s="169" customFormat="1" ht="18" customHeight="1">
      <c r="A14" s="261" t="s">
        <v>40</v>
      </c>
      <c r="B14" s="318">
        <v>14.1</v>
      </c>
      <c r="C14" s="161">
        <v>24</v>
      </c>
      <c r="D14" s="161">
        <v>36</v>
      </c>
      <c r="E14" s="162">
        <v>4.68</v>
      </c>
      <c r="F14" s="160"/>
      <c r="G14" s="160"/>
      <c r="H14" s="163">
        <v>150000</v>
      </c>
      <c r="I14" s="164">
        <f t="shared" si="3"/>
        <v>350000</v>
      </c>
      <c r="J14" s="187"/>
      <c r="K14" s="183"/>
      <c r="L14" s="183"/>
      <c r="M14" s="188"/>
      <c r="N14" s="189"/>
    </row>
    <row r="15" spans="1:14" s="169" customFormat="1" ht="18" customHeight="1">
      <c r="A15" s="261" t="s">
        <v>36</v>
      </c>
      <c r="B15" s="318">
        <v>14.3</v>
      </c>
      <c r="C15" s="160">
        <v>21</v>
      </c>
      <c r="D15" s="161">
        <v>35</v>
      </c>
      <c r="E15" s="177">
        <v>1.35</v>
      </c>
      <c r="F15" s="160"/>
      <c r="G15" s="160"/>
      <c r="H15" s="163">
        <v>350000</v>
      </c>
      <c r="I15" s="164">
        <f t="shared" si="3"/>
        <v>350000</v>
      </c>
      <c r="J15" s="190"/>
      <c r="K15" s="191"/>
      <c r="L15" s="191"/>
      <c r="M15" s="192"/>
      <c r="N15" s="193"/>
    </row>
    <row r="16" spans="1:9" s="169" customFormat="1" ht="18" customHeight="1">
      <c r="A16" s="261" t="s">
        <v>48</v>
      </c>
      <c r="B16" s="318">
        <v>20.5</v>
      </c>
      <c r="C16" s="160">
        <v>18</v>
      </c>
      <c r="D16" s="181">
        <v>43</v>
      </c>
      <c r="E16" s="177"/>
      <c r="F16" s="64"/>
      <c r="G16" s="64"/>
      <c r="H16" s="163">
        <f t="shared" si="2"/>
        <v>50000</v>
      </c>
      <c r="I16" s="164">
        <f t="shared" si="3"/>
        <v>50000</v>
      </c>
    </row>
    <row r="17" spans="1:18" s="169" customFormat="1" ht="18" customHeight="1">
      <c r="A17" s="261" t="s">
        <v>16</v>
      </c>
      <c r="B17" s="318">
        <v>10.1</v>
      </c>
      <c r="C17" s="160" t="s">
        <v>328</v>
      </c>
      <c r="D17" s="161"/>
      <c r="E17" s="162" t="s">
        <v>335</v>
      </c>
      <c r="F17" s="64"/>
      <c r="G17" s="64"/>
      <c r="H17" s="163">
        <v>450000</v>
      </c>
      <c r="I17" s="164">
        <f t="shared" si="3"/>
        <v>350000</v>
      </c>
      <c r="O17" s="175"/>
      <c r="P17" s="175"/>
      <c r="Q17" s="175"/>
      <c r="R17" s="176"/>
    </row>
    <row r="18" spans="1:13" s="169" customFormat="1" ht="18" customHeight="1">
      <c r="A18" s="261"/>
      <c r="B18" s="318"/>
      <c r="C18" s="160"/>
      <c r="D18" s="161"/>
      <c r="E18" s="162"/>
      <c r="F18" s="160"/>
      <c r="G18" s="160"/>
      <c r="H18" s="163">
        <f t="shared" si="2"/>
        <v>0</v>
      </c>
      <c r="I18" s="164">
        <f t="shared" si="3"/>
        <v>0</v>
      </c>
      <c r="J18" s="176"/>
      <c r="K18" s="176"/>
      <c r="L18" s="176"/>
      <c r="M18" s="176"/>
    </row>
    <row r="19" spans="1:13" s="169" customFormat="1" ht="18" customHeight="1">
      <c r="A19" s="261"/>
      <c r="B19" s="318"/>
      <c r="C19" s="160"/>
      <c r="D19" s="181"/>
      <c r="E19" s="162"/>
      <c r="F19" s="160"/>
      <c r="G19" s="160"/>
      <c r="H19" s="163">
        <f t="shared" si="2"/>
        <v>0</v>
      </c>
      <c r="I19" s="164">
        <f t="shared" si="3"/>
        <v>0</v>
      </c>
      <c r="J19" s="176"/>
      <c r="K19" s="176"/>
      <c r="L19" s="176"/>
      <c r="M19" s="176"/>
    </row>
    <row r="20" spans="1:9" s="144" customFormat="1" ht="18" customHeight="1">
      <c r="A20" s="65"/>
      <c r="B20" s="66"/>
      <c r="C20" s="160"/>
      <c r="D20" s="161"/>
      <c r="E20" s="162"/>
      <c r="F20" s="64"/>
      <c r="G20" s="64"/>
      <c r="H20" s="163">
        <f t="shared" si="2"/>
        <v>0</v>
      </c>
      <c r="I20" s="164">
        <f t="shared" si="3"/>
        <v>0</v>
      </c>
    </row>
    <row r="21" spans="1:9" s="144" customFormat="1" ht="18" customHeight="1">
      <c r="A21" s="65"/>
      <c r="B21" s="66"/>
      <c r="C21" s="160"/>
      <c r="D21" s="161"/>
      <c r="E21" s="162"/>
      <c r="F21" s="64"/>
      <c r="G21" s="64"/>
      <c r="H21" s="163">
        <f t="shared" si="2"/>
        <v>0</v>
      </c>
      <c r="I21" s="164">
        <f t="shared" si="3"/>
        <v>0</v>
      </c>
    </row>
    <row r="22" spans="1:9" s="144" customFormat="1" ht="18" customHeight="1">
      <c r="A22" s="65"/>
      <c r="B22" s="66"/>
      <c r="C22" s="160"/>
      <c r="D22" s="161"/>
      <c r="E22" s="162"/>
      <c r="F22" s="64"/>
      <c r="G22" s="64"/>
      <c r="H22" s="163">
        <f t="shared" si="2"/>
        <v>0</v>
      </c>
      <c r="I22" s="164">
        <f t="shared" si="3"/>
        <v>0</v>
      </c>
    </row>
    <row r="23" spans="1:9" s="144" customFormat="1" ht="18" customHeight="1">
      <c r="A23" s="65"/>
      <c r="B23" s="66"/>
      <c r="C23" s="160"/>
      <c r="D23" s="181"/>
      <c r="E23" s="162"/>
      <c r="F23" s="64"/>
      <c r="G23" s="64"/>
      <c r="H23" s="163">
        <f t="shared" si="2"/>
        <v>0</v>
      </c>
      <c r="I23" s="164">
        <f t="shared" si="3"/>
        <v>0</v>
      </c>
    </row>
    <row r="24" spans="1:9" s="144" customFormat="1" ht="18" customHeight="1">
      <c r="A24" s="65"/>
      <c r="B24" s="66"/>
      <c r="C24" s="160"/>
      <c r="D24" s="161"/>
      <c r="E24" s="162"/>
      <c r="F24" s="64"/>
      <c r="G24" s="64"/>
      <c r="H24" s="163">
        <f t="shared" si="2"/>
        <v>0</v>
      </c>
      <c r="I24" s="164">
        <f t="shared" si="3"/>
        <v>0</v>
      </c>
    </row>
    <row r="25" spans="1:9" s="144" customFormat="1" ht="18" customHeight="1">
      <c r="A25" s="65"/>
      <c r="B25" s="66"/>
      <c r="C25" s="160"/>
      <c r="D25" s="161"/>
      <c r="E25" s="177"/>
      <c r="F25" s="64"/>
      <c r="G25" s="64"/>
      <c r="H25" s="163">
        <f t="shared" si="2"/>
        <v>0</v>
      </c>
      <c r="I25" s="164">
        <f t="shared" si="3"/>
        <v>0</v>
      </c>
    </row>
    <row r="26" spans="1:9" s="144" customFormat="1" ht="18" customHeight="1">
      <c r="A26" s="65"/>
      <c r="B26" s="66"/>
      <c r="C26" s="161"/>
      <c r="D26" s="161"/>
      <c r="E26" s="177"/>
      <c r="F26" s="160"/>
      <c r="G26" s="160"/>
      <c r="H26" s="163">
        <f t="shared" si="2"/>
        <v>0</v>
      </c>
      <c r="I26" s="164">
        <f t="shared" si="3"/>
        <v>0</v>
      </c>
    </row>
    <row r="27" spans="1:9" s="144" customFormat="1" ht="18" customHeight="1">
      <c r="A27" s="65"/>
      <c r="B27" s="66"/>
      <c r="C27" s="64"/>
      <c r="D27" s="161"/>
      <c r="E27" s="162"/>
      <c r="F27" s="160"/>
      <c r="G27" s="160"/>
      <c r="H27" s="163">
        <f t="shared" si="2"/>
        <v>0</v>
      </c>
      <c r="I27" s="164">
        <f t="shared" si="3"/>
        <v>0</v>
      </c>
    </row>
    <row r="28" spans="1:9" ht="24" customHeight="1">
      <c r="A28" s="1"/>
      <c r="B28" s="3"/>
      <c r="C28" s="196"/>
      <c r="D28" s="197">
        <f>SUM(D4:D27)</f>
        <v>469</v>
      </c>
      <c r="E28" s="196"/>
      <c r="F28" s="3"/>
      <c r="G28" s="198">
        <f>SUM(G4:G27)</f>
        <v>39</v>
      </c>
      <c r="H28" s="198">
        <f>SUM(H4:H27)</f>
        <v>6600000</v>
      </c>
      <c r="I28" s="19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000000000000005" right="0.43000000000000005" top="0.55" bottom="0.55" header="0.51" footer="0.51"/>
  <pageSetup fitToHeight="1" fitToWidth="1" horizontalDpi="300" verticalDpi="300" orientation="landscape" paperSize="9" scale="88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="150" zoomScaleNormal="150" workbookViewId="0" topLeftCell="A1">
      <selection activeCell="G10" sqref="G10"/>
    </sheetView>
  </sheetViews>
  <sheetFormatPr defaultColWidth="9.140625" defaultRowHeight="12.75"/>
  <cols>
    <col min="1" max="1" width="25.140625" style="141" customWidth="1"/>
    <col min="2" max="2" width="7.8515625" style="142" customWidth="1"/>
    <col min="3" max="3" width="8.421875" style="143" customWidth="1"/>
    <col min="4" max="4" width="6.8515625" style="142" customWidth="1"/>
    <col min="5" max="5" width="8.140625" style="142" customWidth="1"/>
    <col min="6" max="6" width="10.140625" style="142" customWidth="1"/>
    <col min="7" max="7" width="9.140625" style="142" customWidth="1"/>
    <col min="8" max="8" width="13.421875" style="142" customWidth="1"/>
    <col min="9" max="9" width="4.8515625" style="11" customWidth="1"/>
    <col min="10" max="10" width="8.421875" style="11" customWidth="1"/>
    <col min="11" max="11" width="7.00390625" style="11" customWidth="1"/>
    <col min="12" max="12" width="7.8515625" style="11" customWidth="1"/>
    <col min="13" max="13" width="7.421875" style="11" customWidth="1"/>
    <col min="14" max="14" width="12.421875" style="11" customWidth="1"/>
    <col min="15" max="15" width="7.421875" style="11" customWidth="1"/>
    <col min="16" max="16384" width="9.140625" style="11" customWidth="1"/>
  </cols>
  <sheetData>
    <row r="1" spans="2:14" s="144" customFormat="1" ht="43.5" customHeight="1">
      <c r="B1" s="419" t="s">
        <v>206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2:14" s="144" customFormat="1" ht="29.25" customHeight="1">
      <c r="B2" s="425" t="s">
        <v>325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4" s="158" customFormat="1" ht="27" customHeight="1">
      <c r="A3" s="147" t="s">
        <v>88</v>
      </c>
      <c r="B3" s="148" t="s">
        <v>89</v>
      </c>
      <c r="C3" s="148" t="s">
        <v>90</v>
      </c>
      <c r="D3" s="148" t="s">
        <v>91</v>
      </c>
      <c r="E3" s="148" t="s">
        <v>92</v>
      </c>
      <c r="F3" s="149" t="s">
        <v>93</v>
      </c>
      <c r="G3" s="150" t="s">
        <v>94</v>
      </c>
      <c r="H3" s="151" t="s">
        <v>95</v>
      </c>
      <c r="I3" s="152"/>
      <c r="J3" s="153" t="s">
        <v>93</v>
      </c>
      <c r="K3" s="154"/>
      <c r="L3" s="155"/>
      <c r="M3" s="156" t="s">
        <v>94</v>
      </c>
      <c r="N3" s="157" t="s">
        <v>96</v>
      </c>
    </row>
    <row r="4" spans="1:14" s="169" customFormat="1" ht="18" customHeight="1">
      <c r="A4" s="278" t="s">
        <v>32</v>
      </c>
      <c r="B4" s="317">
        <v>12.3</v>
      </c>
      <c r="C4" s="426">
        <v>47</v>
      </c>
      <c r="D4" s="161"/>
      <c r="E4" s="162"/>
      <c r="F4" s="432">
        <v>1</v>
      </c>
      <c r="G4" s="160">
        <v>10</v>
      </c>
      <c r="H4" s="163">
        <v>1050000</v>
      </c>
      <c r="I4" s="164">
        <f>IF(E4&gt;0,#REF!,0)+IF(C4&gt;0,50000,0)+IF(C13&lt;0,50000,0)</f>
        <v>50000</v>
      </c>
      <c r="J4" s="165" t="s">
        <v>97</v>
      </c>
      <c r="K4" s="166"/>
      <c r="L4" s="167"/>
      <c r="M4" s="168">
        <v>10</v>
      </c>
      <c r="N4" s="163">
        <f>N12*25%</f>
        <v>1250000</v>
      </c>
    </row>
    <row r="5" spans="1:14" s="169" customFormat="1" ht="18" customHeight="1">
      <c r="A5" s="261" t="s">
        <v>36</v>
      </c>
      <c r="B5" s="318">
        <v>14.3</v>
      </c>
      <c r="C5" s="427"/>
      <c r="D5" s="181"/>
      <c r="E5" s="162"/>
      <c r="F5" s="433"/>
      <c r="G5" s="160">
        <v>10</v>
      </c>
      <c r="H5" s="163">
        <v>1050000</v>
      </c>
      <c r="I5" s="164">
        <f>IF(E5&gt;0,#REF!,0)+IF(C6&gt;0,50000,0)+IF(C14&lt;0,50000,0)</f>
        <v>50000</v>
      </c>
      <c r="J5" s="170" t="s">
        <v>98</v>
      </c>
      <c r="K5" s="171"/>
      <c r="L5" s="172"/>
      <c r="M5" s="173">
        <v>8</v>
      </c>
      <c r="N5" s="163">
        <f>N12*20%</f>
        <v>1000000</v>
      </c>
    </row>
    <row r="6" spans="1:14" s="169" customFormat="1" ht="18" customHeight="1">
      <c r="A6" s="261" t="s">
        <v>40</v>
      </c>
      <c r="B6" s="318">
        <v>14.1</v>
      </c>
      <c r="C6" s="435">
        <v>44</v>
      </c>
      <c r="D6" s="181"/>
      <c r="E6" s="177"/>
      <c r="F6" s="433">
        <v>2</v>
      </c>
      <c r="G6" s="64">
        <v>6</v>
      </c>
      <c r="H6" s="163">
        <v>800000</v>
      </c>
      <c r="I6" s="164">
        <f>IF(E6&gt;0,#REF!,0)+IF(C7&gt;0,50000,0)+IF(C15&lt;0,50000,0)</f>
        <v>0</v>
      </c>
      <c r="J6" s="170" t="s">
        <v>99</v>
      </c>
      <c r="K6" s="171"/>
      <c r="L6" s="172"/>
      <c r="M6" s="173">
        <v>6</v>
      </c>
      <c r="N6" s="163">
        <f>N12*15%</f>
        <v>750000</v>
      </c>
    </row>
    <row r="7" spans="1:18" s="169" customFormat="1" ht="18" customHeight="1">
      <c r="A7" s="261" t="s">
        <v>46</v>
      </c>
      <c r="B7" s="318">
        <v>13.3</v>
      </c>
      <c r="C7" s="436"/>
      <c r="D7" s="181"/>
      <c r="E7" s="162"/>
      <c r="F7" s="433"/>
      <c r="G7" s="160">
        <v>6</v>
      </c>
      <c r="H7" s="163">
        <v>800000</v>
      </c>
      <c r="I7" s="164">
        <f>IF(E7&gt;0,#REF!,0)+IF(C8&gt;0,50000,0)+IF(C16&lt;0,50000,0)</f>
        <v>50000</v>
      </c>
      <c r="J7" s="170" t="s">
        <v>100</v>
      </c>
      <c r="K7" s="171"/>
      <c r="L7" s="172"/>
      <c r="M7" s="173">
        <v>5</v>
      </c>
      <c r="N7" s="163">
        <f>N12*12%</f>
        <v>600000</v>
      </c>
      <c r="O7" s="175"/>
      <c r="P7" s="175"/>
      <c r="Q7" s="175"/>
      <c r="R7" s="176"/>
    </row>
    <row r="8" spans="1:14" s="169" customFormat="1" ht="18" customHeight="1">
      <c r="A8" s="261" t="s">
        <v>44</v>
      </c>
      <c r="B8" s="318">
        <v>18</v>
      </c>
      <c r="C8" s="426">
        <v>41</v>
      </c>
      <c r="D8" s="181"/>
      <c r="E8" s="162"/>
      <c r="F8" s="433">
        <v>3</v>
      </c>
      <c r="G8" s="160">
        <v>4</v>
      </c>
      <c r="H8" s="163">
        <v>550000</v>
      </c>
      <c r="I8" s="164">
        <f>IF(E8&gt;0,#REF!,0)+IF(C9&gt;0,50000,0)+IF(C17&lt;0,50000,0)</f>
        <v>0</v>
      </c>
      <c r="J8" s="170" t="s">
        <v>101</v>
      </c>
      <c r="K8" s="171"/>
      <c r="L8" s="172"/>
      <c r="M8" s="173">
        <v>4</v>
      </c>
      <c r="N8" s="163">
        <f>N12*10%</f>
        <v>500000</v>
      </c>
    </row>
    <row r="9" spans="1:14" s="169" customFormat="1" ht="18" customHeight="1">
      <c r="A9" s="261" t="s">
        <v>326</v>
      </c>
      <c r="B9" s="318">
        <v>15</v>
      </c>
      <c r="C9" s="427"/>
      <c r="D9" s="161"/>
      <c r="E9" s="177"/>
      <c r="F9" s="433"/>
      <c r="G9" s="178" t="s">
        <v>112</v>
      </c>
      <c r="H9" s="163" t="s">
        <v>112</v>
      </c>
      <c r="I9" s="164">
        <f>IF(E9&gt;0,#REF!,0)+IF(C10&gt;0,50000,0)+IF(C18&lt;0,50000,0)</f>
        <v>50000</v>
      </c>
      <c r="J9" s="170" t="s">
        <v>102</v>
      </c>
      <c r="K9" s="171"/>
      <c r="L9" s="172"/>
      <c r="M9" s="173">
        <v>3</v>
      </c>
      <c r="N9" s="163">
        <f>N12*8%</f>
        <v>400000</v>
      </c>
    </row>
    <row r="10" spans="1:14" s="169" customFormat="1" ht="18" customHeight="1">
      <c r="A10" s="261" t="s">
        <v>16</v>
      </c>
      <c r="B10" s="318">
        <v>10.1</v>
      </c>
      <c r="C10" s="428">
        <v>41</v>
      </c>
      <c r="D10" s="161"/>
      <c r="E10" s="177"/>
      <c r="F10" s="433">
        <v>4</v>
      </c>
      <c r="G10" s="160">
        <v>2</v>
      </c>
      <c r="H10" s="163">
        <v>300000</v>
      </c>
      <c r="I10" s="164">
        <f>IF(E10&gt;0,#REF!,0)+IF(C11&gt;0,50000,0)+IF(C19&lt;0,50000,0)</f>
        <v>0</v>
      </c>
      <c r="J10" s="170" t="s">
        <v>103</v>
      </c>
      <c r="K10" s="171"/>
      <c r="L10" s="172"/>
      <c r="M10" s="173">
        <v>2</v>
      </c>
      <c r="N10" s="163">
        <f>N12*6%</f>
        <v>300000</v>
      </c>
    </row>
    <row r="11" spans="1:14" s="169" customFormat="1" ht="18" customHeight="1">
      <c r="A11" s="261" t="s">
        <v>20</v>
      </c>
      <c r="B11" s="318">
        <v>14.9</v>
      </c>
      <c r="C11" s="429"/>
      <c r="D11" s="181"/>
      <c r="E11" s="162"/>
      <c r="F11" s="434"/>
      <c r="G11" s="160">
        <v>2</v>
      </c>
      <c r="H11" s="163">
        <v>300000</v>
      </c>
      <c r="I11" s="164">
        <f>IF(E11&gt;0,#REF!,0)+IF(C12&gt;0,50000,0)+IF(C20&lt;0,50000,0)</f>
        <v>50000</v>
      </c>
      <c r="J11" s="170" t="s">
        <v>104</v>
      </c>
      <c r="K11" s="171"/>
      <c r="L11" s="172"/>
      <c r="M11" s="173">
        <v>1</v>
      </c>
      <c r="N11" s="163">
        <f>N12*4%</f>
        <v>200000</v>
      </c>
    </row>
    <row r="12" spans="1:14" s="169" customFormat="1" ht="18" customHeight="1">
      <c r="A12" s="261" t="s">
        <v>24</v>
      </c>
      <c r="B12" s="318">
        <v>15.3</v>
      </c>
      <c r="C12" s="426">
        <v>38</v>
      </c>
      <c r="D12" s="161"/>
      <c r="E12" s="162"/>
      <c r="F12" s="160"/>
      <c r="G12" s="160"/>
      <c r="H12" s="163">
        <f>I12</f>
        <v>50000</v>
      </c>
      <c r="I12" s="164">
        <f>IF(E12&gt;0,#REF!,0)+IF(C12&gt;0,50000,0)+IF(C12&lt;0,50000,0)</f>
        <v>50000</v>
      </c>
      <c r="J12" s="179" t="s">
        <v>105</v>
      </c>
      <c r="K12" s="171"/>
      <c r="L12" s="172"/>
      <c r="M12" s="173"/>
      <c r="N12" s="180">
        <v>5000000</v>
      </c>
    </row>
    <row r="13" spans="1:14" s="169" customFormat="1" ht="18" customHeight="1">
      <c r="A13" s="261" t="s">
        <v>48</v>
      </c>
      <c r="B13" s="318">
        <v>20.5</v>
      </c>
      <c r="C13" s="427"/>
      <c r="D13" s="161"/>
      <c r="E13" s="162"/>
      <c r="F13" s="160"/>
      <c r="G13" s="160"/>
      <c r="H13" s="163">
        <v>50000</v>
      </c>
      <c r="I13" s="164">
        <f>IF(E13&gt;0,#REF!,0)+IF(C13&gt;0,50000,0)+IF(C13&lt;0,50000,0)</f>
        <v>0</v>
      </c>
      <c r="J13" s="203" t="s">
        <v>106</v>
      </c>
      <c r="K13" s="62"/>
      <c r="L13" s="62"/>
      <c r="M13" s="64">
        <v>1</v>
      </c>
      <c r="N13" s="163">
        <f>N10</f>
        <v>300000</v>
      </c>
    </row>
    <row r="14" spans="1:9" s="169" customFormat="1" ht="18" customHeight="1">
      <c r="A14" s="261" t="s">
        <v>10</v>
      </c>
      <c r="B14" s="318">
        <v>22.9</v>
      </c>
      <c r="C14" s="426">
        <v>35</v>
      </c>
      <c r="D14" s="181"/>
      <c r="E14" s="162"/>
      <c r="F14" s="160"/>
      <c r="G14" s="160"/>
      <c r="H14" s="163">
        <f>I14</f>
        <v>50000</v>
      </c>
      <c r="I14" s="164">
        <f>IF(E14&gt;0,#REF!,0)+IF(C14&gt;0,50000,0)+IF(C14&lt;0,50000,0)</f>
        <v>50000</v>
      </c>
    </row>
    <row r="15" spans="1:9" s="169" customFormat="1" ht="18" customHeight="1">
      <c r="A15" s="261" t="s">
        <v>30</v>
      </c>
      <c r="B15" s="318">
        <v>10.9</v>
      </c>
      <c r="C15" s="427"/>
      <c r="D15" s="161"/>
      <c r="E15" s="162"/>
      <c r="F15" s="160"/>
      <c r="G15" s="160"/>
      <c r="H15" s="163">
        <v>50000</v>
      </c>
      <c r="I15" s="164">
        <f>IF(E15&gt;0,#REF!,0)+IF(C15&gt;0,50000,0)+IF(C15&lt;0,50000,0)</f>
        <v>0</v>
      </c>
    </row>
    <row r="16" spans="1:9" s="169" customFormat="1" ht="18" customHeight="1">
      <c r="A16" s="261" t="s">
        <v>12</v>
      </c>
      <c r="B16" s="318">
        <v>12.9</v>
      </c>
      <c r="C16" s="430">
        <v>34</v>
      </c>
      <c r="D16" s="161"/>
      <c r="E16" s="177"/>
      <c r="F16" s="64"/>
      <c r="G16" s="64"/>
      <c r="H16" s="163">
        <f>I16</f>
        <v>50000</v>
      </c>
      <c r="I16" s="164">
        <f>IF(E16&gt;0,#REF!,0)+IF(C16&gt;0,50000,0)+IF(C16&lt;0,50000,0)</f>
        <v>50000</v>
      </c>
    </row>
    <row r="17" spans="1:13" s="169" customFormat="1" ht="18" customHeight="1">
      <c r="A17" s="261" t="s">
        <v>50</v>
      </c>
      <c r="B17" s="318">
        <v>7.7</v>
      </c>
      <c r="C17" s="431"/>
      <c r="D17" s="161"/>
      <c r="E17" s="162"/>
      <c r="F17" s="64"/>
      <c r="G17" s="64"/>
      <c r="H17" s="163">
        <v>50000</v>
      </c>
      <c r="I17" s="164">
        <f>IF(E17&gt;0,#REF!,0)+IF(C17&gt;0,50000,0)+IF(C17&lt;0,50000,0)</f>
        <v>0</v>
      </c>
      <c r="J17" s="175"/>
      <c r="K17" s="175"/>
      <c r="L17" s="175"/>
      <c r="M17" s="176"/>
    </row>
    <row r="18" spans="1:14" s="169" customFormat="1" ht="18" customHeight="1">
      <c r="A18" s="261" t="s">
        <v>18</v>
      </c>
      <c r="B18" s="318">
        <v>18.5</v>
      </c>
      <c r="C18" s="426">
        <v>34</v>
      </c>
      <c r="D18" s="181"/>
      <c r="E18" s="162"/>
      <c r="F18" s="160"/>
      <c r="G18" s="160"/>
      <c r="H18" s="163">
        <f>I18</f>
        <v>50000</v>
      </c>
      <c r="I18" s="164">
        <f>IF(E18&gt;0,#REF!,0)+IF(C18&gt;0,50000,0)+IF(C18&lt;0,50000,0)</f>
        <v>50000</v>
      </c>
      <c r="J18" s="64" t="s">
        <v>113</v>
      </c>
      <c r="K18" s="64" t="s">
        <v>94</v>
      </c>
      <c r="L18" s="64"/>
      <c r="M18" s="64" t="s">
        <v>114</v>
      </c>
      <c r="N18" s="64"/>
    </row>
    <row r="19" spans="1:14" s="169" customFormat="1" ht="18" customHeight="1">
      <c r="A19" s="261" t="s">
        <v>327</v>
      </c>
      <c r="B19" s="318"/>
      <c r="C19" s="427"/>
      <c r="D19" s="161"/>
      <c r="E19" s="177"/>
      <c r="F19" s="160"/>
      <c r="G19" s="160"/>
      <c r="H19" s="163" t="s">
        <v>112</v>
      </c>
      <c r="I19" s="164">
        <f>IF(E19&gt;0,#REF!,0)+IF(C19&gt;0,50000,0)+IF(C19&lt;0,50000,0)</f>
        <v>0</v>
      </c>
      <c r="J19" s="64">
        <v>1</v>
      </c>
      <c r="K19" s="64" t="s">
        <v>115</v>
      </c>
      <c r="L19" s="64">
        <v>10</v>
      </c>
      <c r="M19" s="163" t="s">
        <v>115</v>
      </c>
      <c r="N19" s="163">
        <f>N12*0.2</f>
        <v>1000000</v>
      </c>
    </row>
    <row r="20" spans="1:14" s="144" customFormat="1" ht="18" customHeight="1">
      <c r="A20" s="261"/>
      <c r="B20" s="318"/>
      <c r="C20" s="160"/>
      <c r="D20" s="161"/>
      <c r="E20" s="177"/>
      <c r="F20" s="64"/>
      <c r="G20" s="64"/>
      <c r="H20" s="163"/>
      <c r="I20" s="164">
        <f>IF(E20&gt;0,#REF!,0)+IF(C20&gt;0,50000,0)+IF(C20&lt;0,50000,0)</f>
        <v>0</v>
      </c>
      <c r="J20" s="64">
        <v>2</v>
      </c>
      <c r="K20" s="64" t="s">
        <v>115</v>
      </c>
      <c r="L20" s="64">
        <v>6</v>
      </c>
      <c r="M20" s="163" t="s">
        <v>115</v>
      </c>
      <c r="N20" s="163">
        <f>N12*0.15</f>
        <v>750000</v>
      </c>
    </row>
    <row r="21" spans="1:14" s="144" customFormat="1" ht="18" customHeight="1">
      <c r="A21" s="261"/>
      <c r="B21" s="318"/>
      <c r="C21" s="160"/>
      <c r="D21" s="161"/>
      <c r="E21" s="162"/>
      <c r="F21" s="64"/>
      <c r="G21" s="64"/>
      <c r="H21" s="163"/>
      <c r="I21" s="164">
        <f>IF(E21&gt;0,#REF!,0)+IF(C21&gt;0,50000,0)+IF(C21&lt;0,50000,0)</f>
        <v>0</v>
      </c>
      <c r="J21" s="64">
        <v>3</v>
      </c>
      <c r="K21" s="64" t="s">
        <v>115</v>
      </c>
      <c r="L21" s="64">
        <v>4</v>
      </c>
      <c r="M21" s="163" t="s">
        <v>115</v>
      </c>
      <c r="N21" s="163">
        <f>N12*0.1</f>
        <v>500000</v>
      </c>
    </row>
    <row r="22" spans="1:14" s="144" customFormat="1" ht="18" customHeight="1">
      <c r="A22" s="261"/>
      <c r="B22" s="318"/>
      <c r="C22" s="160"/>
      <c r="D22" s="161"/>
      <c r="E22" s="162"/>
      <c r="F22" s="64"/>
      <c r="G22" s="64"/>
      <c r="H22" s="163"/>
      <c r="I22" s="164">
        <f>IF(E22&gt;0,#REF!,0)+IF(C22&gt;0,50000,0)+IF(C22&lt;0,50000,0)</f>
        <v>0</v>
      </c>
      <c r="J22" s="64">
        <v>4</v>
      </c>
      <c r="K22" s="64" t="s">
        <v>115</v>
      </c>
      <c r="L22" s="64">
        <v>2</v>
      </c>
      <c r="M22" s="163" t="s">
        <v>115</v>
      </c>
      <c r="N22" s="163">
        <f>N12*0.05</f>
        <v>250000</v>
      </c>
    </row>
    <row r="23" spans="1:14" s="144" customFormat="1" ht="18" customHeight="1">
      <c r="A23" s="261"/>
      <c r="B23" s="318"/>
      <c r="C23" s="161"/>
      <c r="D23" s="161"/>
      <c r="E23" s="162"/>
      <c r="F23" s="64"/>
      <c r="G23" s="64"/>
      <c r="H23" s="163"/>
      <c r="I23" s="164">
        <f>IF(E23&gt;0,#REF!,0)+IF(C23&gt;0,50000,0)+IF(C23&lt;0,50000,0)</f>
        <v>0</v>
      </c>
      <c r="L23" s="204"/>
      <c r="M23" s="205"/>
      <c r="N23" s="205"/>
    </row>
    <row r="24" spans="1:14" s="144" customFormat="1" ht="18" customHeight="1">
      <c r="A24" s="261"/>
      <c r="B24" s="318"/>
      <c r="C24" s="160"/>
      <c r="D24" s="161"/>
      <c r="E24" s="177"/>
      <c r="F24" s="64"/>
      <c r="G24" s="64"/>
      <c r="H24" s="163"/>
      <c r="I24" s="164">
        <f>IF(E24&gt;0,#REF!,0)+IF(C24&gt;0,50000,0)+IF(C24&lt;0,50000,0)</f>
        <v>0</v>
      </c>
      <c r="L24" s="204"/>
      <c r="M24" s="205"/>
      <c r="N24" s="205"/>
    </row>
    <row r="25" spans="1:14" s="144" customFormat="1" ht="18" customHeight="1">
      <c r="A25" s="261"/>
      <c r="B25" s="318"/>
      <c r="C25" s="160"/>
      <c r="D25" s="161"/>
      <c r="E25" s="177"/>
      <c r="F25" s="64"/>
      <c r="G25" s="64"/>
      <c r="H25" s="163"/>
      <c r="I25" s="164">
        <f>IF(E25&gt;0,#REF!,0)+IF(C25&gt;0,50000,0)+IF(C25&lt;0,50000,0)</f>
        <v>0</v>
      </c>
      <c r="J25" s="64" t="s">
        <v>116</v>
      </c>
      <c r="K25" s="64" t="s">
        <v>94</v>
      </c>
      <c r="L25" s="64"/>
      <c r="M25" s="163" t="s">
        <v>114</v>
      </c>
      <c r="N25" s="163"/>
    </row>
    <row r="26" spans="1:14" s="144" customFormat="1" ht="18" customHeight="1">
      <c r="A26" s="261"/>
      <c r="B26" s="318"/>
      <c r="C26" s="160"/>
      <c r="D26" s="181"/>
      <c r="E26" s="162"/>
      <c r="F26" s="160"/>
      <c r="G26" s="160"/>
      <c r="H26" s="163"/>
      <c r="I26" s="164">
        <f>IF(E26&gt;0,#REF!,0)+IF(C26&gt;0,50000,0)+IF(C26&lt;0,50000,0)</f>
        <v>0</v>
      </c>
      <c r="J26" s="64">
        <v>1</v>
      </c>
      <c r="K26" s="64" t="s">
        <v>117</v>
      </c>
      <c r="L26" s="64">
        <v>10</v>
      </c>
      <c r="M26" s="163" t="s">
        <v>117</v>
      </c>
      <c r="N26" s="163">
        <f>(N4+N5+N6+N7)/4</f>
        <v>900000</v>
      </c>
    </row>
    <row r="27" spans="1:14" s="144" customFormat="1" ht="18" customHeight="1">
      <c r="A27" s="261"/>
      <c r="B27" s="318"/>
      <c r="C27" s="160"/>
      <c r="D27" s="161"/>
      <c r="E27" s="162"/>
      <c r="F27" s="160"/>
      <c r="G27" s="160"/>
      <c r="H27" s="163">
        <f>I27</f>
        <v>0</v>
      </c>
      <c r="I27" s="164">
        <f>IF(E27&gt;0,#REF!,0)+IF(C27&gt;0,50000,0)+IF(C27&lt;0,50000,0)</f>
        <v>0</v>
      </c>
      <c r="J27" s="64">
        <v>2</v>
      </c>
      <c r="K27" s="64" t="s">
        <v>117</v>
      </c>
      <c r="L27" s="64">
        <v>5</v>
      </c>
      <c r="M27" s="163" t="s">
        <v>117</v>
      </c>
      <c r="N27" s="163">
        <f>AVERAGE(N8:N11)</f>
        <v>350000</v>
      </c>
    </row>
    <row r="28" spans="1:9" ht="24" customHeight="1">
      <c r="A28" s="1"/>
      <c r="B28" s="3"/>
      <c r="C28" s="196"/>
      <c r="D28" s="197">
        <f>SUM(D4:D27)</f>
        <v>0</v>
      </c>
      <c r="E28" s="196"/>
      <c r="F28" s="3"/>
      <c r="G28" s="198">
        <f>SUM(G4:G27)</f>
        <v>40</v>
      </c>
      <c r="H28" s="198">
        <f>SUM(H4:H27)</f>
        <v>5200000</v>
      </c>
      <c r="I28" s="199"/>
    </row>
  </sheetData>
  <sheetProtection selectLockedCells="1" selectUnlockedCells="1"/>
  <mergeCells count="14">
    <mergeCell ref="B1:N1"/>
    <mergeCell ref="B2:N2"/>
    <mergeCell ref="F4:F5"/>
    <mergeCell ref="F6:F7"/>
    <mergeCell ref="F8:F9"/>
    <mergeCell ref="F10:F11"/>
    <mergeCell ref="C4:C5"/>
    <mergeCell ref="C6:C7"/>
    <mergeCell ref="C8:C9"/>
    <mergeCell ref="C10:C11"/>
    <mergeCell ref="C12:C13"/>
    <mergeCell ref="C14:C15"/>
    <mergeCell ref="C16:C17"/>
    <mergeCell ref="C18:C19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9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="150" zoomScaleNormal="150" workbookViewId="0" topLeftCell="A1">
      <selection activeCell="A1" sqref="A1:N28"/>
    </sheetView>
  </sheetViews>
  <sheetFormatPr defaultColWidth="9.140625" defaultRowHeight="12.75"/>
  <cols>
    <col min="1" max="1" width="25.140625" style="141" customWidth="1"/>
    <col min="2" max="2" width="7.8515625" style="142" customWidth="1"/>
    <col min="3" max="3" width="8.421875" style="143" customWidth="1"/>
    <col min="4" max="4" width="6.8515625" style="142" customWidth="1"/>
    <col min="5" max="5" width="8.140625" style="142" customWidth="1"/>
    <col min="6" max="6" width="10.140625" style="142" customWidth="1"/>
    <col min="7" max="7" width="9.140625" style="142" customWidth="1"/>
    <col min="8" max="8" width="13.421875" style="142" customWidth="1"/>
    <col min="9" max="9" width="4.8515625" style="11" customWidth="1"/>
    <col min="10" max="10" width="8.421875" style="11" customWidth="1"/>
    <col min="11" max="11" width="7.00390625" style="11" customWidth="1"/>
    <col min="12" max="12" width="7.8515625" style="11" customWidth="1"/>
    <col min="13" max="13" width="7.421875" style="11" customWidth="1"/>
    <col min="14" max="14" width="12.421875" style="11" customWidth="1"/>
    <col min="15" max="15" width="7.421875" style="11" customWidth="1"/>
    <col min="16" max="16384" width="9.140625" style="11" customWidth="1"/>
  </cols>
  <sheetData>
    <row r="1" spans="2:14" s="144" customFormat="1" ht="43.5" customHeight="1">
      <c r="B1" s="419" t="s">
        <v>111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2:14" s="144" customFormat="1" ht="29.25" customHeight="1">
      <c r="B2" s="425" t="s">
        <v>322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4" s="158" customFormat="1" ht="27" customHeight="1">
      <c r="A3" s="147" t="s">
        <v>88</v>
      </c>
      <c r="B3" s="148" t="s">
        <v>89</v>
      </c>
      <c r="C3" s="148" t="s">
        <v>90</v>
      </c>
      <c r="D3" s="148" t="s">
        <v>91</v>
      </c>
      <c r="E3" s="148" t="s">
        <v>92</v>
      </c>
      <c r="F3" s="149" t="s">
        <v>93</v>
      </c>
      <c r="G3" s="150" t="s">
        <v>94</v>
      </c>
      <c r="H3" s="151" t="s">
        <v>95</v>
      </c>
      <c r="I3" s="152"/>
      <c r="J3" s="153" t="s">
        <v>93</v>
      </c>
      <c r="K3" s="154"/>
      <c r="L3" s="155"/>
      <c r="M3" s="156" t="s">
        <v>94</v>
      </c>
      <c r="N3" s="157" t="s">
        <v>96</v>
      </c>
    </row>
    <row r="4" spans="1:14" s="169" customFormat="1" ht="18" customHeight="1">
      <c r="A4" s="278" t="s">
        <v>34</v>
      </c>
      <c r="B4" s="317">
        <v>14.2</v>
      </c>
      <c r="C4" s="161">
        <v>39</v>
      </c>
      <c r="D4" s="161">
        <v>33</v>
      </c>
      <c r="E4" s="162"/>
      <c r="F4" s="160">
        <v>1</v>
      </c>
      <c r="G4" s="160">
        <v>10</v>
      </c>
      <c r="H4" s="163">
        <f aca="true" t="shared" si="0" ref="H4:H11">N4+I4</f>
        <v>1550000</v>
      </c>
      <c r="I4" s="164">
        <f aca="true" t="shared" si="1" ref="I4:I11">IF(E4&gt;0,$N$13,0)+IF(C4&gt;0,50000,0)+IF(C12&lt;0,50000,0)</f>
        <v>50000</v>
      </c>
      <c r="J4" s="165" t="s">
        <v>97</v>
      </c>
      <c r="K4" s="166"/>
      <c r="L4" s="167"/>
      <c r="M4" s="168">
        <v>10</v>
      </c>
      <c r="N4" s="163">
        <f>N12*25%</f>
        <v>1500000</v>
      </c>
    </row>
    <row r="5" spans="1:14" s="169" customFormat="1" ht="18" customHeight="1">
      <c r="A5" s="261" t="s">
        <v>50</v>
      </c>
      <c r="B5" s="318">
        <v>7.8</v>
      </c>
      <c r="C5" s="161">
        <v>38</v>
      </c>
      <c r="D5" s="161">
        <v>26</v>
      </c>
      <c r="E5" s="177"/>
      <c r="F5" s="160">
        <v>2</v>
      </c>
      <c r="G5" s="160">
        <v>8</v>
      </c>
      <c r="H5" s="163">
        <f t="shared" si="0"/>
        <v>1250000</v>
      </c>
      <c r="I5" s="164">
        <f t="shared" si="1"/>
        <v>50000</v>
      </c>
      <c r="J5" s="170" t="s">
        <v>98</v>
      </c>
      <c r="K5" s="171"/>
      <c r="L5" s="172"/>
      <c r="M5" s="173">
        <v>8</v>
      </c>
      <c r="N5" s="163">
        <f>N12*20%</f>
        <v>1200000</v>
      </c>
    </row>
    <row r="6" spans="1:14" s="169" customFormat="1" ht="18" customHeight="1">
      <c r="A6" s="261" t="s">
        <v>36</v>
      </c>
      <c r="B6" s="318">
        <v>14.4</v>
      </c>
      <c r="C6" s="160">
        <v>38</v>
      </c>
      <c r="D6" s="161">
        <v>28</v>
      </c>
      <c r="E6" s="177" t="s">
        <v>321</v>
      </c>
      <c r="F6" s="64">
        <v>3</v>
      </c>
      <c r="G6" s="64">
        <v>6</v>
      </c>
      <c r="H6" s="163">
        <v>1410000</v>
      </c>
      <c r="I6" s="164">
        <f t="shared" si="1"/>
        <v>410000</v>
      </c>
      <c r="J6" s="170" t="s">
        <v>99</v>
      </c>
      <c r="K6" s="171"/>
      <c r="L6" s="172"/>
      <c r="M6" s="173">
        <v>6</v>
      </c>
      <c r="N6" s="163">
        <f>N12*15%</f>
        <v>900000</v>
      </c>
    </row>
    <row r="7" spans="1:18" s="169" customFormat="1" ht="18" customHeight="1">
      <c r="A7" s="261" t="s">
        <v>20</v>
      </c>
      <c r="B7" s="318">
        <v>14.7</v>
      </c>
      <c r="C7" s="160">
        <v>36</v>
      </c>
      <c r="D7" s="161">
        <v>29</v>
      </c>
      <c r="E7" s="177"/>
      <c r="F7" s="160">
        <v>4</v>
      </c>
      <c r="G7" s="160">
        <v>5</v>
      </c>
      <c r="H7" s="163">
        <f t="shared" si="0"/>
        <v>770000</v>
      </c>
      <c r="I7" s="164">
        <f t="shared" si="1"/>
        <v>50000</v>
      </c>
      <c r="J7" s="170" t="s">
        <v>100</v>
      </c>
      <c r="K7" s="171"/>
      <c r="L7" s="172"/>
      <c r="M7" s="173">
        <v>5</v>
      </c>
      <c r="N7" s="163">
        <f>N12*12%</f>
        <v>720000</v>
      </c>
      <c r="O7" s="175"/>
      <c r="P7" s="175"/>
      <c r="Q7" s="175"/>
      <c r="R7" s="176"/>
    </row>
    <row r="8" spans="1:14" s="169" customFormat="1" ht="18" customHeight="1">
      <c r="A8" s="261" t="s">
        <v>48</v>
      </c>
      <c r="B8" s="318">
        <v>20.6</v>
      </c>
      <c r="C8" s="161">
        <v>35</v>
      </c>
      <c r="D8" s="181">
        <v>31</v>
      </c>
      <c r="E8" s="162">
        <v>5.88</v>
      </c>
      <c r="F8" s="160">
        <v>5</v>
      </c>
      <c r="G8" s="160">
        <v>4</v>
      </c>
      <c r="H8" s="163">
        <v>750000</v>
      </c>
      <c r="I8" s="164">
        <f t="shared" si="1"/>
        <v>410000</v>
      </c>
      <c r="J8" s="170" t="s">
        <v>101</v>
      </c>
      <c r="K8" s="171"/>
      <c r="L8" s="172"/>
      <c r="M8" s="173">
        <v>4</v>
      </c>
      <c r="N8" s="163">
        <f>N12*10%</f>
        <v>600000</v>
      </c>
    </row>
    <row r="9" spans="1:14" s="169" customFormat="1" ht="18" customHeight="1">
      <c r="A9" s="261" t="s">
        <v>16</v>
      </c>
      <c r="B9" s="318">
        <v>10.1</v>
      </c>
      <c r="C9" s="161">
        <v>34</v>
      </c>
      <c r="D9" s="181">
        <v>30</v>
      </c>
      <c r="E9" s="162"/>
      <c r="F9" s="178">
        <v>6</v>
      </c>
      <c r="G9" s="178">
        <v>3</v>
      </c>
      <c r="H9" s="163">
        <f t="shared" si="0"/>
        <v>530000</v>
      </c>
      <c r="I9" s="164">
        <f t="shared" si="1"/>
        <v>50000</v>
      </c>
      <c r="J9" s="170" t="s">
        <v>102</v>
      </c>
      <c r="K9" s="171"/>
      <c r="L9" s="172"/>
      <c r="M9" s="173">
        <v>3</v>
      </c>
      <c r="N9" s="163">
        <f>N12*8%</f>
        <v>480000</v>
      </c>
    </row>
    <row r="10" spans="1:14" s="169" customFormat="1" ht="18" customHeight="1">
      <c r="A10" s="261" t="s">
        <v>30</v>
      </c>
      <c r="B10" s="318">
        <v>11</v>
      </c>
      <c r="C10" s="160">
        <v>33</v>
      </c>
      <c r="D10" s="181">
        <v>31</v>
      </c>
      <c r="E10" s="162"/>
      <c r="F10" s="160">
        <v>7</v>
      </c>
      <c r="G10" s="160">
        <v>2</v>
      </c>
      <c r="H10" s="163">
        <f t="shared" si="0"/>
        <v>410000</v>
      </c>
      <c r="I10" s="164">
        <f t="shared" si="1"/>
        <v>50000</v>
      </c>
      <c r="J10" s="170" t="s">
        <v>103</v>
      </c>
      <c r="K10" s="171"/>
      <c r="L10" s="172"/>
      <c r="M10" s="173">
        <v>2</v>
      </c>
      <c r="N10" s="163">
        <f>N12*6%</f>
        <v>360000</v>
      </c>
    </row>
    <row r="11" spans="1:14" s="169" customFormat="1" ht="18" customHeight="1">
      <c r="A11" s="261" t="s">
        <v>46</v>
      </c>
      <c r="B11" s="318">
        <v>13</v>
      </c>
      <c r="C11" s="160">
        <v>33</v>
      </c>
      <c r="D11" s="181">
        <v>31</v>
      </c>
      <c r="E11" s="162"/>
      <c r="F11" s="160">
        <v>8</v>
      </c>
      <c r="G11" s="160">
        <v>1</v>
      </c>
      <c r="H11" s="163">
        <f t="shared" si="0"/>
        <v>290000</v>
      </c>
      <c r="I11" s="164">
        <f t="shared" si="1"/>
        <v>50000</v>
      </c>
      <c r="J11" s="170" t="s">
        <v>104</v>
      </c>
      <c r="K11" s="171"/>
      <c r="L11" s="172"/>
      <c r="M11" s="173">
        <v>1</v>
      </c>
      <c r="N11" s="163">
        <f>N12*4%</f>
        <v>240000</v>
      </c>
    </row>
    <row r="12" spans="1:14" s="169" customFormat="1" ht="18" customHeight="1">
      <c r="A12" s="261" t="s">
        <v>56</v>
      </c>
      <c r="B12" s="318">
        <v>14.2</v>
      </c>
      <c r="C12" s="160">
        <v>33</v>
      </c>
      <c r="D12" s="161">
        <v>36</v>
      </c>
      <c r="E12" s="162"/>
      <c r="F12" s="160"/>
      <c r="G12" s="160"/>
      <c r="H12" s="163">
        <f aca="true" t="shared" si="2" ref="H12:H27">I12</f>
        <v>50000</v>
      </c>
      <c r="I12" s="164">
        <f>IF(E12&gt;0,$N$13,0)+IF(C12&gt;0,50000,0)+IF(C12&lt;0,50000,0)</f>
        <v>50000</v>
      </c>
      <c r="J12" s="179" t="s">
        <v>105</v>
      </c>
      <c r="K12" s="171"/>
      <c r="L12" s="172"/>
      <c r="M12" s="173"/>
      <c r="N12" s="180">
        <v>6000000</v>
      </c>
    </row>
    <row r="13" spans="1:14" s="169" customFormat="1" ht="18" customHeight="1">
      <c r="A13" s="261" t="s">
        <v>24</v>
      </c>
      <c r="B13" s="318">
        <v>15</v>
      </c>
      <c r="C13" s="181">
        <v>33</v>
      </c>
      <c r="D13" s="161">
        <v>38</v>
      </c>
      <c r="E13" s="177" t="s">
        <v>323</v>
      </c>
      <c r="F13" s="160"/>
      <c r="G13" s="160"/>
      <c r="H13" s="163">
        <v>250000</v>
      </c>
      <c r="I13" s="164">
        <f aca="true" t="shared" si="3" ref="I13:I27">IF(E13&gt;0,$N$13,0)+IF(C13&gt;0,50000,0)+IF(C13&lt;0,50000,0)</f>
        <v>410000</v>
      </c>
      <c r="J13" s="182" t="s">
        <v>106</v>
      </c>
      <c r="K13" s="183"/>
      <c r="L13" s="184"/>
      <c r="M13" s="185">
        <v>1</v>
      </c>
      <c r="N13" s="186">
        <f>N10</f>
        <v>360000</v>
      </c>
    </row>
    <row r="14" spans="1:14" s="169" customFormat="1" ht="18" customHeight="1">
      <c r="A14" s="261" t="s">
        <v>44</v>
      </c>
      <c r="B14" s="318">
        <v>18</v>
      </c>
      <c r="C14" s="160">
        <v>33</v>
      </c>
      <c r="D14" s="161">
        <v>36</v>
      </c>
      <c r="E14" s="162"/>
      <c r="F14" s="160"/>
      <c r="G14" s="160"/>
      <c r="H14" s="163">
        <f t="shared" si="2"/>
        <v>50000</v>
      </c>
      <c r="I14" s="164">
        <f t="shared" si="3"/>
        <v>50000</v>
      </c>
      <c r="J14" s="187"/>
      <c r="K14" s="183"/>
      <c r="L14" s="183"/>
      <c r="M14" s="188"/>
      <c r="N14" s="189"/>
    </row>
    <row r="15" spans="1:14" s="169" customFormat="1" ht="18" customHeight="1">
      <c r="A15" s="261" t="s">
        <v>28</v>
      </c>
      <c r="B15" s="318">
        <v>19.2</v>
      </c>
      <c r="C15" s="160">
        <v>33</v>
      </c>
      <c r="D15" s="181">
        <v>34</v>
      </c>
      <c r="E15" s="177"/>
      <c r="F15" s="160"/>
      <c r="G15" s="160"/>
      <c r="H15" s="163">
        <f t="shared" si="2"/>
        <v>50000</v>
      </c>
      <c r="I15" s="164">
        <f t="shared" si="3"/>
        <v>50000</v>
      </c>
      <c r="J15" s="190"/>
      <c r="K15" s="191"/>
      <c r="L15" s="191"/>
      <c r="M15" s="192"/>
      <c r="N15" s="193"/>
    </row>
    <row r="16" spans="1:9" s="169" customFormat="1" ht="18" customHeight="1">
      <c r="A16" s="261" t="s">
        <v>18</v>
      </c>
      <c r="B16" s="318">
        <v>18.6</v>
      </c>
      <c r="C16" s="160">
        <v>32</v>
      </c>
      <c r="D16" s="161">
        <v>33</v>
      </c>
      <c r="E16" s="177"/>
      <c r="F16" s="64"/>
      <c r="G16" s="64"/>
      <c r="H16" s="163">
        <f t="shared" si="2"/>
        <v>50000</v>
      </c>
      <c r="I16" s="164">
        <f t="shared" si="3"/>
        <v>50000</v>
      </c>
    </row>
    <row r="17" spans="1:13" s="169" customFormat="1" ht="18" customHeight="1">
      <c r="A17" s="261" t="s">
        <v>42</v>
      </c>
      <c r="B17" s="318">
        <v>24.1</v>
      </c>
      <c r="C17" s="160">
        <v>30</v>
      </c>
      <c r="D17" s="161">
        <v>35</v>
      </c>
      <c r="E17" s="177"/>
      <c r="F17" s="64"/>
      <c r="G17" s="64"/>
      <c r="H17" s="163">
        <f t="shared" si="2"/>
        <v>50000</v>
      </c>
      <c r="I17" s="164">
        <f t="shared" si="3"/>
        <v>50000</v>
      </c>
      <c r="J17" s="175"/>
      <c r="K17" s="175"/>
      <c r="L17" s="175"/>
      <c r="M17" s="176"/>
    </row>
    <row r="18" spans="1:13" s="169" customFormat="1" ht="18" customHeight="1">
      <c r="A18" s="261" t="s">
        <v>52</v>
      </c>
      <c r="B18" s="318">
        <v>11.3</v>
      </c>
      <c r="C18" s="160">
        <v>29</v>
      </c>
      <c r="D18" s="181">
        <v>33</v>
      </c>
      <c r="E18" s="162"/>
      <c r="F18" s="160"/>
      <c r="G18" s="160"/>
      <c r="H18" s="163">
        <f t="shared" si="2"/>
        <v>50000</v>
      </c>
      <c r="I18" s="164">
        <f t="shared" si="3"/>
        <v>50000</v>
      </c>
      <c r="J18" s="176"/>
      <c r="K18" s="176"/>
      <c r="L18" s="176"/>
      <c r="M18" s="176"/>
    </row>
    <row r="19" spans="1:13" s="169" customFormat="1" ht="18" customHeight="1">
      <c r="A19" s="261" t="s">
        <v>40</v>
      </c>
      <c r="B19" s="318">
        <v>14.1</v>
      </c>
      <c r="C19" s="161">
        <v>29</v>
      </c>
      <c r="D19" s="161">
        <v>36</v>
      </c>
      <c r="E19" s="162"/>
      <c r="F19" s="160"/>
      <c r="G19" s="160"/>
      <c r="H19" s="163">
        <f t="shared" si="2"/>
        <v>50000</v>
      </c>
      <c r="I19" s="164">
        <f t="shared" si="3"/>
        <v>50000</v>
      </c>
      <c r="J19" s="176"/>
      <c r="K19" s="176"/>
      <c r="L19" s="176"/>
      <c r="M19" s="176"/>
    </row>
    <row r="20" spans="1:9" s="144" customFormat="1" ht="18" customHeight="1">
      <c r="A20" s="261" t="s">
        <v>32</v>
      </c>
      <c r="B20" s="318">
        <v>12.4</v>
      </c>
      <c r="C20" s="64">
        <v>25</v>
      </c>
      <c r="D20" s="161">
        <v>40</v>
      </c>
      <c r="E20" s="162"/>
      <c r="F20" s="64"/>
      <c r="G20" s="64"/>
      <c r="H20" s="163">
        <f t="shared" si="2"/>
        <v>50000</v>
      </c>
      <c r="I20" s="164">
        <f t="shared" si="3"/>
        <v>50000</v>
      </c>
    </row>
    <row r="21" spans="1:9" s="144" customFormat="1" ht="18" customHeight="1">
      <c r="A21" s="261" t="s">
        <v>12</v>
      </c>
      <c r="B21" s="318">
        <v>13</v>
      </c>
      <c r="C21" s="160">
        <v>22</v>
      </c>
      <c r="D21" s="161">
        <v>35</v>
      </c>
      <c r="E21" s="162"/>
      <c r="F21" s="64"/>
      <c r="G21" s="64"/>
      <c r="H21" s="163">
        <f t="shared" si="2"/>
        <v>50000</v>
      </c>
      <c r="I21" s="164">
        <f t="shared" si="3"/>
        <v>50000</v>
      </c>
    </row>
    <row r="22" spans="1:9" s="144" customFormat="1" ht="18" customHeight="1">
      <c r="A22" s="261" t="s">
        <v>54</v>
      </c>
      <c r="B22" s="318">
        <v>24.4</v>
      </c>
      <c r="C22" s="160">
        <v>22</v>
      </c>
      <c r="D22" s="181">
        <v>49</v>
      </c>
      <c r="E22" s="162"/>
      <c r="F22" s="64"/>
      <c r="G22" s="64"/>
      <c r="H22" s="163">
        <f t="shared" si="2"/>
        <v>50000</v>
      </c>
      <c r="I22" s="164">
        <f t="shared" si="3"/>
        <v>50000</v>
      </c>
    </row>
    <row r="23" spans="1:9" s="144" customFormat="1" ht="18" customHeight="1">
      <c r="A23" s="261"/>
      <c r="B23" s="318"/>
      <c r="C23" s="160"/>
      <c r="D23" s="181"/>
      <c r="E23" s="162"/>
      <c r="F23" s="64"/>
      <c r="G23" s="64"/>
      <c r="H23" s="163">
        <f t="shared" si="2"/>
        <v>0</v>
      </c>
      <c r="I23" s="164">
        <f t="shared" si="3"/>
        <v>0</v>
      </c>
    </row>
    <row r="24" spans="1:9" s="144" customFormat="1" ht="18" customHeight="1">
      <c r="A24" s="261"/>
      <c r="B24" s="318"/>
      <c r="C24" s="161"/>
      <c r="D24" s="161"/>
      <c r="E24" s="177"/>
      <c r="F24" s="64"/>
      <c r="G24" s="64"/>
      <c r="H24" s="163">
        <f t="shared" si="2"/>
        <v>0</v>
      </c>
      <c r="I24" s="164">
        <f t="shared" si="3"/>
        <v>0</v>
      </c>
    </row>
    <row r="25" spans="1:9" s="144" customFormat="1" ht="18" customHeight="1">
      <c r="A25" s="261"/>
      <c r="B25" s="318"/>
      <c r="C25" s="160"/>
      <c r="D25" s="161"/>
      <c r="E25" s="162"/>
      <c r="F25" s="64"/>
      <c r="G25" s="64"/>
      <c r="H25" s="163">
        <f t="shared" si="2"/>
        <v>0</v>
      </c>
      <c r="I25" s="164">
        <f t="shared" si="3"/>
        <v>0</v>
      </c>
    </row>
    <row r="26" spans="1:9" s="144" customFormat="1" ht="18" customHeight="1">
      <c r="A26" s="261"/>
      <c r="B26" s="318"/>
      <c r="C26" s="160"/>
      <c r="D26" s="161"/>
      <c r="E26" s="162"/>
      <c r="F26" s="160"/>
      <c r="G26" s="160"/>
      <c r="H26" s="163">
        <f t="shared" si="2"/>
        <v>0</v>
      </c>
      <c r="I26" s="164">
        <f t="shared" si="3"/>
        <v>0</v>
      </c>
    </row>
    <row r="27" spans="1:9" s="144" customFormat="1" ht="18" customHeight="1">
      <c r="A27" s="261"/>
      <c r="B27" s="318"/>
      <c r="C27" s="160"/>
      <c r="D27" s="161"/>
      <c r="E27" s="162"/>
      <c r="F27" s="160"/>
      <c r="G27" s="160"/>
      <c r="H27" s="163">
        <f t="shared" si="2"/>
        <v>0</v>
      </c>
      <c r="I27" s="164">
        <f t="shared" si="3"/>
        <v>0</v>
      </c>
    </row>
    <row r="28" spans="1:9" ht="24" customHeight="1">
      <c r="A28" s="1"/>
      <c r="B28" s="3"/>
      <c r="C28" s="196"/>
      <c r="D28" s="197">
        <f>SUM(D4:D27)</f>
        <v>644</v>
      </c>
      <c r="E28" s="196"/>
      <c r="F28" s="3"/>
      <c r="G28" s="198">
        <f>SUM(G4:G27)</f>
        <v>39</v>
      </c>
      <c r="H28" s="198">
        <f>SUM(H4:H27)</f>
        <v>7710000</v>
      </c>
      <c r="I28" s="19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9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="150" zoomScaleNormal="150" workbookViewId="0" topLeftCell="A1">
      <selection activeCell="A1" sqref="A1:N28"/>
    </sheetView>
  </sheetViews>
  <sheetFormatPr defaultColWidth="9.140625" defaultRowHeight="12.75"/>
  <cols>
    <col min="1" max="1" width="25.140625" style="141" customWidth="1"/>
    <col min="2" max="2" width="7.8515625" style="142" customWidth="1"/>
    <col min="3" max="3" width="8.421875" style="143" customWidth="1"/>
    <col min="4" max="4" width="6.8515625" style="142" customWidth="1"/>
    <col min="5" max="5" width="8.140625" style="142" customWidth="1"/>
    <col min="6" max="6" width="10.140625" style="142" customWidth="1"/>
    <col min="7" max="7" width="9.140625" style="142" customWidth="1"/>
    <col min="8" max="8" width="13.421875" style="142" customWidth="1"/>
    <col min="9" max="9" width="4.8515625" style="11" customWidth="1"/>
    <col min="10" max="10" width="8.421875" style="11" customWidth="1"/>
    <col min="11" max="11" width="7.00390625" style="11" customWidth="1"/>
    <col min="12" max="12" width="7.8515625" style="11" customWidth="1"/>
    <col min="13" max="13" width="7.421875" style="11" customWidth="1"/>
    <col min="14" max="14" width="12.421875" style="11" customWidth="1"/>
    <col min="15" max="15" width="7.421875" style="11" customWidth="1"/>
    <col min="16" max="16384" width="9.140625" style="11" customWidth="1"/>
  </cols>
  <sheetData>
    <row r="1" spans="2:14" s="144" customFormat="1" ht="43.5" customHeight="1">
      <c r="B1" s="419" t="s">
        <v>118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2:14" s="144" customFormat="1" ht="29.25" customHeight="1">
      <c r="B2" s="425" t="s">
        <v>313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4" s="158" customFormat="1" ht="27" customHeight="1">
      <c r="A3" s="147" t="s">
        <v>88</v>
      </c>
      <c r="B3" s="148" t="s">
        <v>89</v>
      </c>
      <c r="C3" s="148" t="s">
        <v>90</v>
      </c>
      <c r="D3" s="148" t="s">
        <v>91</v>
      </c>
      <c r="E3" s="148" t="s">
        <v>92</v>
      </c>
      <c r="F3" s="149" t="s">
        <v>93</v>
      </c>
      <c r="G3" s="150" t="s">
        <v>94</v>
      </c>
      <c r="H3" s="151" t="s">
        <v>95</v>
      </c>
      <c r="I3" s="152"/>
      <c r="J3" s="153" t="s">
        <v>93</v>
      </c>
      <c r="K3" s="154"/>
      <c r="L3" s="155"/>
      <c r="M3" s="156" t="s">
        <v>94</v>
      </c>
      <c r="N3" s="157" t="s">
        <v>96</v>
      </c>
    </row>
    <row r="4" spans="1:14" s="169" customFormat="1" ht="18" customHeight="1">
      <c r="A4" s="278" t="s">
        <v>46</v>
      </c>
      <c r="B4" s="317">
        <v>13.3</v>
      </c>
      <c r="C4" s="160">
        <v>37</v>
      </c>
      <c r="D4" s="161">
        <v>26</v>
      </c>
      <c r="E4" s="177"/>
      <c r="F4" s="160">
        <v>1</v>
      </c>
      <c r="G4" s="160">
        <v>10</v>
      </c>
      <c r="H4" s="163">
        <f aca="true" t="shared" si="0" ref="H4:H11">N4+I4</f>
        <v>1550000</v>
      </c>
      <c r="I4" s="164">
        <f aca="true" t="shared" si="1" ref="I4:I11">IF(E4&gt;0,$N$13,0)+IF(C4&gt;0,50000,0)+IF(C12&lt;0,50000,0)</f>
        <v>50000</v>
      </c>
      <c r="J4" s="165" t="s">
        <v>97</v>
      </c>
      <c r="K4" s="166"/>
      <c r="L4" s="167"/>
      <c r="M4" s="168">
        <v>10</v>
      </c>
      <c r="N4" s="163">
        <f>N12*25%</f>
        <v>1500000</v>
      </c>
    </row>
    <row r="5" spans="1:14" s="169" customFormat="1" ht="18" customHeight="1">
      <c r="A5" s="261" t="s">
        <v>14</v>
      </c>
      <c r="B5" s="318">
        <v>18.5</v>
      </c>
      <c r="C5" s="160">
        <v>36</v>
      </c>
      <c r="D5" s="181">
        <v>34</v>
      </c>
      <c r="E5" s="162"/>
      <c r="F5" s="160">
        <v>2</v>
      </c>
      <c r="G5" s="160">
        <v>8</v>
      </c>
      <c r="H5" s="163">
        <f t="shared" si="0"/>
        <v>1250000</v>
      </c>
      <c r="I5" s="164">
        <f t="shared" si="1"/>
        <v>50000</v>
      </c>
      <c r="J5" s="170" t="s">
        <v>98</v>
      </c>
      <c r="K5" s="171"/>
      <c r="L5" s="172"/>
      <c r="M5" s="173">
        <v>8</v>
      </c>
      <c r="N5" s="163">
        <f>N12*20%</f>
        <v>1200000</v>
      </c>
    </row>
    <row r="6" spans="1:14" s="169" customFormat="1" ht="18" customHeight="1">
      <c r="A6" s="261" t="s">
        <v>40</v>
      </c>
      <c r="B6" s="318">
        <v>14.1</v>
      </c>
      <c r="C6" s="160">
        <v>35</v>
      </c>
      <c r="D6" s="161">
        <v>29</v>
      </c>
      <c r="E6" s="162"/>
      <c r="F6" s="64">
        <v>3</v>
      </c>
      <c r="G6" s="64">
        <v>6</v>
      </c>
      <c r="H6" s="163">
        <f t="shared" si="0"/>
        <v>950000</v>
      </c>
      <c r="I6" s="164">
        <f t="shared" si="1"/>
        <v>50000</v>
      </c>
      <c r="J6" s="170" t="s">
        <v>99</v>
      </c>
      <c r="K6" s="171"/>
      <c r="L6" s="172"/>
      <c r="M6" s="173">
        <v>6</v>
      </c>
      <c r="N6" s="163">
        <f>N12*15%</f>
        <v>900000</v>
      </c>
    </row>
    <row r="7" spans="1:18" s="169" customFormat="1" ht="18" customHeight="1">
      <c r="A7" s="261" t="s">
        <v>44</v>
      </c>
      <c r="B7" s="318">
        <v>18</v>
      </c>
      <c r="C7" s="64">
        <v>34</v>
      </c>
      <c r="D7" s="161">
        <v>31</v>
      </c>
      <c r="E7" s="177"/>
      <c r="F7" s="160">
        <v>4</v>
      </c>
      <c r="G7" s="160">
        <v>5</v>
      </c>
      <c r="H7" s="163">
        <f t="shared" si="0"/>
        <v>770000</v>
      </c>
      <c r="I7" s="164">
        <f t="shared" si="1"/>
        <v>50000</v>
      </c>
      <c r="J7" s="170" t="s">
        <v>100</v>
      </c>
      <c r="K7" s="171"/>
      <c r="L7" s="172"/>
      <c r="M7" s="173">
        <v>5</v>
      </c>
      <c r="N7" s="163">
        <f>N12*12%</f>
        <v>720000</v>
      </c>
      <c r="O7" s="175"/>
      <c r="P7" s="175"/>
      <c r="Q7" s="175"/>
      <c r="R7" s="176"/>
    </row>
    <row r="8" spans="1:14" s="169" customFormat="1" ht="18" customHeight="1">
      <c r="A8" s="261" t="s">
        <v>54</v>
      </c>
      <c r="B8" s="318">
        <v>24.4</v>
      </c>
      <c r="C8" s="161">
        <v>32</v>
      </c>
      <c r="D8" s="181">
        <v>37</v>
      </c>
      <c r="E8" s="177"/>
      <c r="F8" s="160">
        <v>5</v>
      </c>
      <c r="G8" s="160">
        <v>4</v>
      </c>
      <c r="H8" s="163">
        <f t="shared" si="0"/>
        <v>650000</v>
      </c>
      <c r="I8" s="164">
        <f t="shared" si="1"/>
        <v>50000</v>
      </c>
      <c r="J8" s="170" t="s">
        <v>101</v>
      </c>
      <c r="K8" s="171"/>
      <c r="L8" s="172"/>
      <c r="M8" s="173">
        <v>4</v>
      </c>
      <c r="N8" s="163">
        <f>N12*10%</f>
        <v>600000</v>
      </c>
    </row>
    <row r="9" spans="1:14" s="169" customFormat="1" ht="18" customHeight="1">
      <c r="A9" s="261" t="s">
        <v>10</v>
      </c>
      <c r="B9" s="318">
        <v>22.9</v>
      </c>
      <c r="C9" s="160">
        <v>31</v>
      </c>
      <c r="D9" s="181">
        <v>38</v>
      </c>
      <c r="E9" s="162"/>
      <c r="F9" s="178">
        <v>6</v>
      </c>
      <c r="G9" s="178">
        <v>3</v>
      </c>
      <c r="H9" s="163">
        <f t="shared" si="0"/>
        <v>530000</v>
      </c>
      <c r="I9" s="164">
        <f t="shared" si="1"/>
        <v>50000</v>
      </c>
      <c r="J9" s="170" t="s">
        <v>102</v>
      </c>
      <c r="K9" s="171"/>
      <c r="L9" s="172"/>
      <c r="M9" s="173">
        <v>3</v>
      </c>
      <c r="N9" s="163">
        <f>N12*8%</f>
        <v>480000</v>
      </c>
    </row>
    <row r="10" spans="1:14" s="169" customFormat="1" ht="18" customHeight="1">
      <c r="A10" s="261" t="s">
        <v>50</v>
      </c>
      <c r="B10" s="318">
        <v>7.7</v>
      </c>
      <c r="C10" s="160">
        <v>30</v>
      </c>
      <c r="D10" s="161">
        <v>30</v>
      </c>
      <c r="E10" s="162"/>
      <c r="F10" s="160">
        <v>7</v>
      </c>
      <c r="G10" s="160">
        <v>2</v>
      </c>
      <c r="H10" s="163">
        <f t="shared" si="0"/>
        <v>410000</v>
      </c>
      <c r="I10" s="164">
        <f t="shared" si="1"/>
        <v>50000</v>
      </c>
      <c r="J10" s="170" t="s">
        <v>103</v>
      </c>
      <c r="K10" s="171"/>
      <c r="L10" s="172"/>
      <c r="M10" s="173">
        <v>2</v>
      </c>
      <c r="N10" s="163">
        <f>N12*6%</f>
        <v>360000</v>
      </c>
    </row>
    <row r="11" spans="1:14" s="169" customFormat="1" ht="18" customHeight="1">
      <c r="A11" s="261" t="s">
        <v>30</v>
      </c>
      <c r="B11" s="318">
        <v>10.9</v>
      </c>
      <c r="C11" s="160">
        <v>30</v>
      </c>
      <c r="D11" s="181">
        <v>28</v>
      </c>
      <c r="E11" s="177"/>
      <c r="F11" s="160">
        <v>8</v>
      </c>
      <c r="G11" s="160">
        <v>1</v>
      </c>
      <c r="H11" s="163">
        <f t="shared" si="0"/>
        <v>290000</v>
      </c>
      <c r="I11" s="164">
        <f t="shared" si="1"/>
        <v>50000</v>
      </c>
      <c r="J11" s="170" t="s">
        <v>104</v>
      </c>
      <c r="K11" s="171"/>
      <c r="L11" s="172"/>
      <c r="M11" s="173">
        <v>1</v>
      </c>
      <c r="N11" s="163">
        <f>N12*4%</f>
        <v>240000</v>
      </c>
    </row>
    <row r="12" spans="1:14" s="169" customFormat="1" ht="18" customHeight="1">
      <c r="A12" s="261" t="s">
        <v>12</v>
      </c>
      <c r="B12" s="318">
        <v>12.9</v>
      </c>
      <c r="C12" s="160">
        <v>29</v>
      </c>
      <c r="D12" s="161">
        <v>33</v>
      </c>
      <c r="E12" s="162">
        <v>0.65</v>
      </c>
      <c r="F12" s="160"/>
      <c r="G12" s="160"/>
      <c r="H12" s="163">
        <f aca="true" t="shared" si="2" ref="H12:H27">I12</f>
        <v>410000</v>
      </c>
      <c r="I12" s="164">
        <f aca="true" t="shared" si="3" ref="I12:I27">IF(E12&gt;0,$N$13,0)+IF(C12&gt;0,50000,0)+IF(C12&lt;0,50000,0)</f>
        <v>410000</v>
      </c>
      <c r="J12" s="179" t="s">
        <v>105</v>
      </c>
      <c r="K12" s="171"/>
      <c r="L12" s="172"/>
      <c r="M12" s="173"/>
      <c r="N12" s="180">
        <v>6000000</v>
      </c>
    </row>
    <row r="13" spans="1:14" s="169" customFormat="1" ht="18" customHeight="1">
      <c r="A13" s="261" t="s">
        <v>18</v>
      </c>
      <c r="B13" s="318">
        <v>18.5</v>
      </c>
      <c r="C13" s="161">
        <v>29</v>
      </c>
      <c r="D13" s="161">
        <v>33</v>
      </c>
      <c r="E13" s="162"/>
      <c r="F13" s="160"/>
      <c r="G13" s="160"/>
      <c r="H13" s="163">
        <f t="shared" si="2"/>
        <v>50000</v>
      </c>
      <c r="I13" s="164">
        <f t="shared" si="3"/>
        <v>50000</v>
      </c>
      <c r="J13" s="182" t="s">
        <v>106</v>
      </c>
      <c r="K13" s="183"/>
      <c r="L13" s="184"/>
      <c r="M13" s="185">
        <v>1</v>
      </c>
      <c r="N13" s="186">
        <f>N10</f>
        <v>360000</v>
      </c>
    </row>
    <row r="14" spans="1:14" s="169" customFormat="1" ht="18" customHeight="1">
      <c r="A14" s="261" t="s">
        <v>32</v>
      </c>
      <c r="B14" s="318">
        <v>12.3</v>
      </c>
      <c r="C14" s="160">
        <v>28</v>
      </c>
      <c r="D14" s="161">
        <v>34</v>
      </c>
      <c r="E14" s="162"/>
      <c r="F14" s="160"/>
      <c r="G14" s="160"/>
      <c r="H14" s="163">
        <f t="shared" si="2"/>
        <v>50000</v>
      </c>
      <c r="I14" s="164">
        <f t="shared" si="3"/>
        <v>50000</v>
      </c>
      <c r="J14" s="187"/>
      <c r="K14" s="183"/>
      <c r="L14" s="183"/>
      <c r="M14" s="188"/>
      <c r="N14" s="189"/>
    </row>
    <row r="15" spans="1:14" s="169" customFormat="1" ht="18" customHeight="1">
      <c r="A15" s="261" t="s">
        <v>36</v>
      </c>
      <c r="B15" s="318">
        <v>14.3</v>
      </c>
      <c r="C15" s="160">
        <v>26</v>
      </c>
      <c r="D15" s="181">
        <v>36</v>
      </c>
      <c r="E15" s="162"/>
      <c r="F15" s="160"/>
      <c r="G15" s="160"/>
      <c r="H15" s="163">
        <f t="shared" si="2"/>
        <v>50000</v>
      </c>
      <c r="I15" s="164">
        <f t="shared" si="3"/>
        <v>50000</v>
      </c>
      <c r="J15" s="190"/>
      <c r="K15" s="191"/>
      <c r="L15" s="191"/>
      <c r="M15" s="192"/>
      <c r="N15" s="193"/>
    </row>
    <row r="16" spans="1:9" s="169" customFormat="1" ht="18" customHeight="1">
      <c r="A16" s="261" t="s">
        <v>20</v>
      </c>
      <c r="B16" s="318">
        <v>14.9</v>
      </c>
      <c r="C16" s="161">
        <v>26</v>
      </c>
      <c r="D16" s="161">
        <v>32</v>
      </c>
      <c r="E16" s="162"/>
      <c r="F16" s="64"/>
      <c r="G16" s="64"/>
      <c r="H16" s="163">
        <f t="shared" si="2"/>
        <v>50000</v>
      </c>
      <c r="I16" s="164">
        <f t="shared" si="3"/>
        <v>50000</v>
      </c>
    </row>
    <row r="17" spans="1:13" s="169" customFormat="1" ht="18" customHeight="1">
      <c r="A17" s="261" t="s">
        <v>38</v>
      </c>
      <c r="B17" s="318">
        <v>22.7</v>
      </c>
      <c r="C17" s="161">
        <v>26</v>
      </c>
      <c r="D17" s="161">
        <v>30</v>
      </c>
      <c r="E17" s="177"/>
      <c r="F17" s="64"/>
      <c r="G17" s="64"/>
      <c r="H17" s="163">
        <f t="shared" si="2"/>
        <v>50000</v>
      </c>
      <c r="I17" s="164">
        <f t="shared" si="3"/>
        <v>50000</v>
      </c>
      <c r="J17" s="175"/>
      <c r="K17" s="175"/>
      <c r="L17" s="175"/>
      <c r="M17" s="176"/>
    </row>
    <row r="18" spans="1:13" s="169" customFormat="1" ht="18" customHeight="1">
      <c r="A18" s="261" t="s">
        <v>24</v>
      </c>
      <c r="B18" s="318">
        <v>15.3</v>
      </c>
      <c r="C18" s="160">
        <v>25</v>
      </c>
      <c r="D18" s="181">
        <v>37</v>
      </c>
      <c r="E18" s="177"/>
      <c r="F18" s="160"/>
      <c r="G18" s="160"/>
      <c r="H18" s="163">
        <f t="shared" si="2"/>
        <v>50000</v>
      </c>
      <c r="I18" s="164">
        <f t="shared" si="3"/>
        <v>50000</v>
      </c>
      <c r="J18" s="176"/>
      <c r="K18" s="176"/>
      <c r="L18" s="176"/>
      <c r="M18" s="176"/>
    </row>
    <row r="19" spans="1:13" s="169" customFormat="1" ht="18" customHeight="1">
      <c r="A19" s="261" t="s">
        <v>52</v>
      </c>
      <c r="B19" s="318">
        <v>11.1</v>
      </c>
      <c r="C19" s="160">
        <v>24</v>
      </c>
      <c r="D19" s="161">
        <v>37</v>
      </c>
      <c r="E19" s="162"/>
      <c r="F19" s="160"/>
      <c r="G19" s="160"/>
      <c r="H19" s="163">
        <f t="shared" si="2"/>
        <v>50000</v>
      </c>
      <c r="I19" s="164">
        <f t="shared" si="3"/>
        <v>50000</v>
      </c>
      <c r="J19" s="176"/>
      <c r="K19" s="176"/>
      <c r="L19" s="176"/>
      <c r="M19" s="176"/>
    </row>
    <row r="20" spans="1:9" s="144" customFormat="1" ht="18" customHeight="1">
      <c r="A20" s="261" t="s">
        <v>42</v>
      </c>
      <c r="B20" s="318">
        <v>25.3</v>
      </c>
      <c r="C20" s="160">
        <v>21</v>
      </c>
      <c r="D20" s="161">
        <v>37</v>
      </c>
      <c r="E20" s="177"/>
      <c r="F20" s="64"/>
      <c r="G20" s="64"/>
      <c r="H20" s="163">
        <f t="shared" si="2"/>
        <v>50000</v>
      </c>
      <c r="I20" s="164">
        <f t="shared" si="3"/>
        <v>50000</v>
      </c>
    </row>
    <row r="21" spans="1:9" s="144" customFormat="1" ht="18" customHeight="1">
      <c r="A21" s="261" t="s">
        <v>28</v>
      </c>
      <c r="B21" s="318">
        <v>19.1</v>
      </c>
      <c r="C21" s="160">
        <v>20</v>
      </c>
      <c r="D21" s="161">
        <v>39</v>
      </c>
      <c r="E21" s="162"/>
      <c r="F21" s="64"/>
      <c r="G21" s="64"/>
      <c r="H21" s="163">
        <f t="shared" si="2"/>
        <v>50000</v>
      </c>
      <c r="I21" s="164">
        <f t="shared" si="3"/>
        <v>50000</v>
      </c>
    </row>
    <row r="22" spans="1:9" s="144" customFormat="1" ht="18" customHeight="1">
      <c r="A22" s="261" t="s">
        <v>48</v>
      </c>
      <c r="B22" s="318">
        <v>20.5</v>
      </c>
      <c r="C22" s="160">
        <v>17</v>
      </c>
      <c r="D22" s="161">
        <v>43</v>
      </c>
      <c r="E22" s="162"/>
      <c r="F22" s="64"/>
      <c r="G22" s="64"/>
      <c r="H22" s="163">
        <f t="shared" si="2"/>
        <v>50000</v>
      </c>
      <c r="I22" s="164">
        <f t="shared" si="3"/>
        <v>50000</v>
      </c>
    </row>
    <row r="23" spans="1:9" s="144" customFormat="1" ht="18" customHeight="1">
      <c r="A23" s="261"/>
      <c r="B23" s="318"/>
      <c r="C23" s="181"/>
      <c r="D23" s="161"/>
      <c r="E23" s="162"/>
      <c r="F23" s="64"/>
      <c r="G23" s="64"/>
      <c r="H23" s="163">
        <f t="shared" si="2"/>
        <v>0</v>
      </c>
      <c r="I23" s="164">
        <f t="shared" si="3"/>
        <v>0</v>
      </c>
    </row>
    <row r="24" spans="1:9" s="144" customFormat="1" ht="18" customHeight="1">
      <c r="A24" s="261"/>
      <c r="B24" s="318"/>
      <c r="C24" s="161"/>
      <c r="D24" s="181"/>
      <c r="E24" s="162"/>
      <c r="F24" s="64"/>
      <c r="G24" s="64"/>
      <c r="H24" s="163">
        <f t="shared" si="2"/>
        <v>0</v>
      </c>
      <c r="I24" s="164">
        <f t="shared" si="3"/>
        <v>0</v>
      </c>
    </row>
    <row r="25" spans="1:9" s="144" customFormat="1" ht="18" customHeight="1">
      <c r="A25" s="261"/>
      <c r="B25" s="318"/>
      <c r="C25" s="161"/>
      <c r="D25" s="161"/>
      <c r="E25" s="162"/>
      <c r="F25" s="64"/>
      <c r="G25" s="64"/>
      <c r="H25" s="163">
        <f t="shared" si="2"/>
        <v>0</v>
      </c>
      <c r="I25" s="164">
        <f t="shared" si="3"/>
        <v>0</v>
      </c>
    </row>
    <row r="26" spans="1:9" s="144" customFormat="1" ht="18" customHeight="1">
      <c r="A26" s="261"/>
      <c r="B26" s="318"/>
      <c r="C26" s="160"/>
      <c r="D26" s="181"/>
      <c r="E26" s="177"/>
      <c r="F26" s="160"/>
      <c r="G26" s="160"/>
      <c r="H26" s="163">
        <f t="shared" si="2"/>
        <v>0</v>
      </c>
      <c r="I26" s="164">
        <f t="shared" si="3"/>
        <v>0</v>
      </c>
    </row>
    <row r="27" spans="1:9" s="144" customFormat="1" ht="18" customHeight="1">
      <c r="A27" s="261"/>
      <c r="B27" s="318"/>
      <c r="C27" s="160"/>
      <c r="D27" s="161"/>
      <c r="E27" s="162"/>
      <c r="F27" s="160"/>
      <c r="G27" s="160"/>
      <c r="H27" s="163">
        <f t="shared" si="2"/>
        <v>0</v>
      </c>
      <c r="I27" s="164">
        <f t="shared" si="3"/>
        <v>0</v>
      </c>
    </row>
    <row r="28" spans="1:9" ht="24" customHeight="1">
      <c r="A28" s="1"/>
      <c r="B28" s="3"/>
      <c r="C28" s="196"/>
      <c r="D28" s="197">
        <f>SUM(D4:D27)</f>
        <v>644</v>
      </c>
      <c r="E28" s="196"/>
      <c r="F28" s="3"/>
      <c r="G28" s="198">
        <f>SUM(G4:G27)</f>
        <v>39</v>
      </c>
      <c r="H28" s="198">
        <f>SUM(H4:H27)</f>
        <v>7310000</v>
      </c>
      <c r="I28" s="19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9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="150" zoomScaleNormal="150" workbookViewId="0" topLeftCell="A1">
      <selection activeCell="A1" sqref="A1:N28"/>
    </sheetView>
  </sheetViews>
  <sheetFormatPr defaultColWidth="9.140625" defaultRowHeight="12.75"/>
  <cols>
    <col min="1" max="1" width="25.140625" style="141" customWidth="1"/>
    <col min="2" max="2" width="7.8515625" style="142" customWidth="1"/>
    <col min="3" max="3" width="8.421875" style="143" customWidth="1"/>
    <col min="4" max="4" width="6.8515625" style="142" customWidth="1"/>
    <col min="5" max="5" width="8.140625" style="142" customWidth="1"/>
    <col min="6" max="6" width="10.140625" style="142" customWidth="1"/>
    <col min="7" max="7" width="9.140625" style="142" customWidth="1"/>
    <col min="8" max="8" width="13.421875" style="142" customWidth="1"/>
    <col min="9" max="9" width="4.8515625" style="11" customWidth="1"/>
    <col min="10" max="10" width="8.421875" style="11" customWidth="1"/>
    <col min="11" max="11" width="7.00390625" style="11" customWidth="1"/>
    <col min="12" max="12" width="7.8515625" style="11" customWidth="1"/>
    <col min="13" max="13" width="7.421875" style="11" customWidth="1"/>
    <col min="14" max="14" width="12.421875" style="11" customWidth="1"/>
    <col min="15" max="15" width="7.421875" style="11" customWidth="1"/>
    <col min="16" max="16384" width="9.140625" style="11" customWidth="1"/>
  </cols>
  <sheetData>
    <row r="1" spans="2:14" s="144" customFormat="1" ht="43.5" customHeight="1">
      <c r="B1" s="419" t="s">
        <v>119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2:14" s="144" customFormat="1" ht="29.25" customHeight="1">
      <c r="B2" s="425" t="s">
        <v>199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4" s="158" customFormat="1" ht="27" customHeight="1">
      <c r="A3" s="147" t="s">
        <v>88</v>
      </c>
      <c r="B3" s="148" t="s">
        <v>89</v>
      </c>
      <c r="C3" s="148" t="s">
        <v>90</v>
      </c>
      <c r="D3" s="148" t="s">
        <v>91</v>
      </c>
      <c r="E3" s="148" t="s">
        <v>92</v>
      </c>
      <c r="F3" s="149" t="s">
        <v>93</v>
      </c>
      <c r="G3" s="150" t="s">
        <v>94</v>
      </c>
      <c r="H3" s="151" t="s">
        <v>95</v>
      </c>
      <c r="I3" s="152"/>
      <c r="J3" s="153" t="s">
        <v>93</v>
      </c>
      <c r="K3" s="154"/>
      <c r="L3" s="155"/>
      <c r="M3" s="156" t="s">
        <v>94</v>
      </c>
      <c r="N3" s="157" t="s">
        <v>96</v>
      </c>
    </row>
    <row r="4" spans="1:14" s="169" customFormat="1" ht="18" customHeight="1">
      <c r="A4" s="278" t="s">
        <v>12</v>
      </c>
      <c r="B4" s="437">
        <v>38</v>
      </c>
      <c r="C4" s="430">
        <v>61</v>
      </c>
      <c r="D4" s="161"/>
      <c r="E4" s="162"/>
      <c r="F4" s="440">
        <v>1</v>
      </c>
      <c r="G4" s="440">
        <v>10</v>
      </c>
      <c r="H4" s="163">
        <v>1250000</v>
      </c>
      <c r="I4" s="164">
        <f aca="true" t="shared" si="0" ref="I4:I11">IF(E4&gt;0,$N$13,0)+IF(C4&gt;0,50000,0)+IF(C12&lt;0,50000,0)</f>
        <v>50000</v>
      </c>
      <c r="J4" s="165" t="s">
        <v>97</v>
      </c>
      <c r="K4" s="166"/>
      <c r="L4" s="167"/>
      <c r="M4" s="168">
        <v>10</v>
      </c>
      <c r="N4" s="163">
        <f>N12*25%</f>
        <v>1500000</v>
      </c>
    </row>
    <row r="5" spans="1:14" s="169" customFormat="1" ht="18" customHeight="1">
      <c r="A5" s="261" t="s">
        <v>14</v>
      </c>
      <c r="B5" s="438"/>
      <c r="C5" s="431"/>
      <c r="D5" s="161"/>
      <c r="E5" s="162"/>
      <c r="F5" s="441"/>
      <c r="G5" s="441"/>
      <c r="H5" s="163">
        <v>1250000</v>
      </c>
      <c r="I5" s="164">
        <f t="shared" si="0"/>
        <v>0</v>
      </c>
      <c r="J5" s="170" t="s">
        <v>98</v>
      </c>
      <c r="K5" s="171"/>
      <c r="L5" s="172"/>
      <c r="M5" s="173">
        <v>8</v>
      </c>
      <c r="N5" s="163">
        <f>N12*20%</f>
        <v>1200000</v>
      </c>
    </row>
    <row r="6" spans="1:14" s="169" customFormat="1" ht="18" customHeight="1">
      <c r="A6" s="261" t="s">
        <v>50</v>
      </c>
      <c r="B6" s="439">
        <v>38</v>
      </c>
      <c r="C6" s="430">
        <v>66</v>
      </c>
      <c r="D6" s="161"/>
      <c r="E6" s="162">
        <v>7.65</v>
      </c>
      <c r="F6" s="442">
        <v>2</v>
      </c>
      <c r="G6" s="442">
        <v>6</v>
      </c>
      <c r="H6" s="163">
        <v>1310000</v>
      </c>
      <c r="I6" s="164">
        <f t="shared" si="0"/>
        <v>410000</v>
      </c>
      <c r="J6" s="170" t="s">
        <v>99</v>
      </c>
      <c r="K6" s="171"/>
      <c r="L6" s="172"/>
      <c r="M6" s="173">
        <v>6</v>
      </c>
      <c r="N6" s="163">
        <f>N12*15%</f>
        <v>900000</v>
      </c>
    </row>
    <row r="7" spans="1:18" s="169" customFormat="1" ht="18" customHeight="1">
      <c r="A7" s="261" t="s">
        <v>54</v>
      </c>
      <c r="B7" s="438"/>
      <c r="C7" s="431"/>
      <c r="D7" s="181"/>
      <c r="E7" s="162"/>
      <c r="F7" s="443"/>
      <c r="G7" s="443"/>
      <c r="H7" s="163">
        <v>950000</v>
      </c>
      <c r="I7" s="164">
        <f t="shared" si="0"/>
        <v>0</v>
      </c>
      <c r="J7" s="170" t="s">
        <v>100</v>
      </c>
      <c r="K7" s="171"/>
      <c r="L7" s="172"/>
      <c r="M7" s="173">
        <v>5</v>
      </c>
      <c r="N7" s="163">
        <f>N12*12%</f>
        <v>720000</v>
      </c>
      <c r="O7" s="175"/>
      <c r="P7" s="175"/>
      <c r="Q7" s="175"/>
      <c r="R7" s="176"/>
    </row>
    <row r="8" spans="1:14" s="169" customFormat="1" ht="18" customHeight="1">
      <c r="A8" s="261" t="s">
        <v>26</v>
      </c>
      <c r="B8" s="439">
        <v>35</v>
      </c>
      <c r="C8" s="430">
        <v>67</v>
      </c>
      <c r="D8" s="161"/>
      <c r="E8" s="177"/>
      <c r="F8" s="440">
        <v>3</v>
      </c>
      <c r="G8" s="440">
        <v>4</v>
      </c>
      <c r="H8" s="163">
        <v>650000</v>
      </c>
      <c r="I8" s="164">
        <f t="shared" si="0"/>
        <v>50000</v>
      </c>
      <c r="J8" s="170" t="s">
        <v>101</v>
      </c>
      <c r="K8" s="171"/>
      <c r="L8" s="172"/>
      <c r="M8" s="173">
        <v>4</v>
      </c>
      <c r="N8" s="163">
        <f>N12*10%</f>
        <v>600000</v>
      </c>
    </row>
    <row r="9" spans="1:14" s="169" customFormat="1" ht="18" customHeight="1">
      <c r="A9" s="261" t="s">
        <v>36</v>
      </c>
      <c r="B9" s="438"/>
      <c r="C9" s="431"/>
      <c r="D9" s="161"/>
      <c r="E9" s="162"/>
      <c r="F9" s="441"/>
      <c r="G9" s="441"/>
      <c r="H9" s="163">
        <v>650000</v>
      </c>
      <c r="I9" s="164">
        <f t="shared" si="0"/>
        <v>0</v>
      </c>
      <c r="J9" s="170" t="s">
        <v>102</v>
      </c>
      <c r="K9" s="171"/>
      <c r="L9" s="172"/>
      <c r="M9" s="173">
        <v>3</v>
      </c>
      <c r="N9" s="163">
        <f>N12*8%</f>
        <v>480000</v>
      </c>
    </row>
    <row r="10" spans="1:14" s="169" customFormat="1" ht="18" customHeight="1">
      <c r="A10" s="261" t="s">
        <v>40</v>
      </c>
      <c r="B10" s="444">
        <v>33</v>
      </c>
      <c r="C10" s="440">
        <v>70</v>
      </c>
      <c r="D10" s="181"/>
      <c r="E10" s="177"/>
      <c r="F10" s="440">
        <v>4</v>
      </c>
      <c r="G10" s="440">
        <v>2</v>
      </c>
      <c r="H10" s="163">
        <v>350000</v>
      </c>
      <c r="I10" s="164">
        <f t="shared" si="0"/>
        <v>50000</v>
      </c>
      <c r="J10" s="170" t="s">
        <v>103</v>
      </c>
      <c r="K10" s="171"/>
      <c r="L10" s="172"/>
      <c r="M10" s="173">
        <v>2</v>
      </c>
      <c r="N10" s="163">
        <f>N12*6%</f>
        <v>360000</v>
      </c>
    </row>
    <row r="11" spans="1:14" s="169" customFormat="1" ht="18" customHeight="1">
      <c r="A11" s="261" t="s">
        <v>46</v>
      </c>
      <c r="B11" s="445"/>
      <c r="C11" s="441"/>
      <c r="D11" s="161"/>
      <c r="E11" s="177"/>
      <c r="F11" s="441"/>
      <c r="G11" s="441"/>
      <c r="H11" s="163">
        <v>350000</v>
      </c>
      <c r="I11" s="164">
        <f t="shared" si="0"/>
        <v>0</v>
      </c>
      <c r="J11" s="170" t="s">
        <v>104</v>
      </c>
      <c r="K11" s="171"/>
      <c r="L11" s="172"/>
      <c r="M11" s="173">
        <v>1</v>
      </c>
      <c r="N11" s="163">
        <f>N12*4%</f>
        <v>240000</v>
      </c>
    </row>
    <row r="12" spans="1:14" s="169" customFormat="1" ht="18" customHeight="1">
      <c r="A12" s="261" t="s">
        <v>16</v>
      </c>
      <c r="B12" s="444">
        <v>39</v>
      </c>
      <c r="C12" s="440">
        <v>71</v>
      </c>
      <c r="D12" s="181"/>
      <c r="E12" s="162"/>
      <c r="F12" s="160"/>
      <c r="G12" s="160"/>
      <c r="H12" s="163">
        <v>50000</v>
      </c>
      <c r="I12" s="164">
        <f aca="true" t="shared" si="1" ref="I12:I27">IF(E12&gt;0,$N$13,0)+IF(C12&gt;0,50000,0)+IF(C12&lt;0,50000,0)</f>
        <v>50000</v>
      </c>
      <c r="J12" s="179" t="s">
        <v>105</v>
      </c>
      <c r="K12" s="171"/>
      <c r="L12" s="172"/>
      <c r="M12" s="173"/>
      <c r="N12" s="180">
        <v>6000000</v>
      </c>
    </row>
    <row r="13" spans="1:14" s="169" customFormat="1" ht="18" customHeight="1">
      <c r="A13" s="261" t="s">
        <v>42</v>
      </c>
      <c r="B13" s="445"/>
      <c r="C13" s="441"/>
      <c r="D13" s="181"/>
      <c r="E13" s="162"/>
      <c r="F13" s="160"/>
      <c r="G13" s="160"/>
      <c r="H13" s="163">
        <v>50000</v>
      </c>
      <c r="I13" s="164">
        <f t="shared" si="1"/>
        <v>0</v>
      </c>
      <c r="J13" s="182" t="s">
        <v>106</v>
      </c>
      <c r="K13" s="183"/>
      <c r="L13" s="184"/>
      <c r="M13" s="185">
        <v>1</v>
      </c>
      <c r="N13" s="186">
        <f>N10</f>
        <v>360000</v>
      </c>
    </row>
    <row r="14" spans="1:14" s="169" customFormat="1" ht="18" customHeight="1">
      <c r="A14" s="261" t="s">
        <v>32</v>
      </c>
      <c r="B14" s="444">
        <v>37</v>
      </c>
      <c r="C14" s="440">
        <v>72</v>
      </c>
      <c r="D14" s="181"/>
      <c r="E14" s="162"/>
      <c r="F14" s="160"/>
      <c r="G14" s="160"/>
      <c r="H14" s="163">
        <v>50000</v>
      </c>
      <c r="I14" s="164">
        <f t="shared" si="1"/>
        <v>50000</v>
      </c>
      <c r="J14" s="187"/>
      <c r="K14" s="183"/>
      <c r="L14" s="183"/>
      <c r="M14" s="188"/>
      <c r="N14" s="189"/>
    </row>
    <row r="15" spans="1:14" s="169" customFormat="1" ht="18" customHeight="1">
      <c r="A15" s="261" t="s">
        <v>44</v>
      </c>
      <c r="B15" s="445"/>
      <c r="C15" s="441"/>
      <c r="D15" s="161"/>
      <c r="E15" s="162"/>
      <c r="F15" s="160"/>
      <c r="G15" s="160"/>
      <c r="H15" s="163">
        <v>50000</v>
      </c>
      <c r="I15" s="164">
        <f t="shared" si="1"/>
        <v>0</v>
      </c>
      <c r="J15" s="190"/>
      <c r="K15" s="191"/>
      <c r="L15" s="191"/>
      <c r="M15" s="192"/>
      <c r="N15" s="193"/>
    </row>
    <row r="16" spans="1:9" s="169" customFormat="1" ht="18" customHeight="1">
      <c r="A16" s="261" t="s">
        <v>20</v>
      </c>
      <c r="B16" s="444">
        <v>36</v>
      </c>
      <c r="C16" s="440">
        <v>73</v>
      </c>
      <c r="D16" s="181"/>
      <c r="E16" s="162"/>
      <c r="F16" s="64"/>
      <c r="G16" s="64"/>
      <c r="H16" s="163">
        <v>50000</v>
      </c>
      <c r="I16" s="164">
        <f t="shared" si="1"/>
        <v>50000</v>
      </c>
    </row>
    <row r="17" spans="1:18" s="169" customFormat="1" ht="18" customHeight="1">
      <c r="A17" s="261" t="s">
        <v>24</v>
      </c>
      <c r="B17" s="445"/>
      <c r="C17" s="441"/>
      <c r="D17" s="161"/>
      <c r="E17" s="162"/>
      <c r="F17" s="64"/>
      <c r="G17" s="64"/>
      <c r="H17" s="163">
        <v>50000</v>
      </c>
      <c r="I17" s="164">
        <f t="shared" si="1"/>
        <v>0</v>
      </c>
      <c r="O17" s="175"/>
      <c r="P17" s="175"/>
      <c r="Q17" s="175"/>
      <c r="R17" s="176"/>
    </row>
    <row r="18" spans="1:14" s="169" customFormat="1" ht="18" customHeight="1">
      <c r="A18" s="261" t="s">
        <v>18</v>
      </c>
      <c r="B18" s="444">
        <v>39</v>
      </c>
      <c r="C18" s="440">
        <v>74</v>
      </c>
      <c r="D18" s="161"/>
      <c r="E18" s="177"/>
      <c r="F18" s="160"/>
      <c r="G18" s="160"/>
      <c r="H18" s="163">
        <v>50000</v>
      </c>
      <c r="I18" s="164">
        <f t="shared" si="1"/>
        <v>50000</v>
      </c>
      <c r="J18" s="64" t="s">
        <v>113</v>
      </c>
      <c r="K18" s="64" t="s">
        <v>94</v>
      </c>
      <c r="L18" s="64"/>
      <c r="M18" s="64" t="s">
        <v>114</v>
      </c>
      <c r="N18" s="64"/>
    </row>
    <row r="19" spans="1:14" s="169" customFormat="1" ht="18" customHeight="1">
      <c r="A19" s="261" t="s">
        <v>34</v>
      </c>
      <c r="B19" s="445"/>
      <c r="C19" s="441"/>
      <c r="D19" s="161"/>
      <c r="E19" s="177"/>
      <c r="F19" s="160"/>
      <c r="G19" s="160"/>
      <c r="H19" s="163">
        <v>50000</v>
      </c>
      <c r="I19" s="164">
        <f t="shared" si="1"/>
        <v>0</v>
      </c>
      <c r="J19" s="64">
        <v>1</v>
      </c>
      <c r="K19" s="64" t="s">
        <v>115</v>
      </c>
      <c r="L19" s="64">
        <v>10</v>
      </c>
      <c r="M19" s="163" t="s">
        <v>115</v>
      </c>
      <c r="N19" s="163">
        <f>N12*20%</f>
        <v>1200000</v>
      </c>
    </row>
    <row r="20" spans="1:14" s="144" customFormat="1" ht="18" customHeight="1">
      <c r="A20" s="261" t="s">
        <v>30</v>
      </c>
      <c r="B20" s="444">
        <v>40</v>
      </c>
      <c r="C20" s="440">
        <v>74</v>
      </c>
      <c r="D20" s="181"/>
      <c r="E20" s="162"/>
      <c r="F20" s="64"/>
      <c r="G20" s="64"/>
      <c r="H20" s="163">
        <v>50000</v>
      </c>
      <c r="I20" s="164">
        <f t="shared" si="1"/>
        <v>50000</v>
      </c>
      <c r="J20" s="64">
        <v>2</v>
      </c>
      <c r="K20" s="64" t="s">
        <v>115</v>
      </c>
      <c r="L20" s="64">
        <v>6</v>
      </c>
      <c r="M20" s="163" t="s">
        <v>115</v>
      </c>
      <c r="N20" s="163">
        <f>N12*15%</f>
        <v>900000</v>
      </c>
    </row>
    <row r="21" spans="1:14" s="144" customFormat="1" ht="18" customHeight="1">
      <c r="A21" s="261" t="s">
        <v>48</v>
      </c>
      <c r="B21" s="445"/>
      <c r="C21" s="441"/>
      <c r="D21" s="161"/>
      <c r="E21" s="177"/>
      <c r="F21" s="64"/>
      <c r="G21" s="64"/>
      <c r="H21" s="163">
        <v>50000</v>
      </c>
      <c r="I21" s="164">
        <f t="shared" si="1"/>
        <v>0</v>
      </c>
      <c r="J21" s="64">
        <v>3</v>
      </c>
      <c r="K21" s="64" t="s">
        <v>115</v>
      </c>
      <c r="L21" s="64">
        <v>4</v>
      </c>
      <c r="M21" s="163" t="s">
        <v>115</v>
      </c>
      <c r="N21" s="163">
        <f>N12*10%</f>
        <v>600000</v>
      </c>
    </row>
    <row r="22" spans="1:14" s="144" customFormat="1" ht="18" customHeight="1">
      <c r="A22" s="261"/>
      <c r="B22" s="318"/>
      <c r="C22" s="161"/>
      <c r="D22" s="161"/>
      <c r="E22" s="162"/>
      <c r="F22" s="64"/>
      <c r="G22" s="64"/>
      <c r="H22" s="163">
        <f aca="true" t="shared" si="2" ref="H22:H27">I22</f>
        <v>0</v>
      </c>
      <c r="I22" s="164">
        <f t="shared" si="1"/>
        <v>0</v>
      </c>
      <c r="J22" s="64">
        <v>4</v>
      </c>
      <c r="K22" s="64" t="s">
        <v>115</v>
      </c>
      <c r="L22" s="64">
        <v>2</v>
      </c>
      <c r="M22" s="163" t="s">
        <v>115</v>
      </c>
      <c r="N22" s="163">
        <f>N12*5%</f>
        <v>300000</v>
      </c>
    </row>
    <row r="23" spans="1:14" s="144" customFormat="1" ht="18" customHeight="1">
      <c r="A23" s="261"/>
      <c r="B23" s="318"/>
      <c r="C23" s="160"/>
      <c r="D23" s="161"/>
      <c r="E23" s="162"/>
      <c r="F23" s="64"/>
      <c r="G23" s="64"/>
      <c r="H23" s="163">
        <f t="shared" si="2"/>
        <v>0</v>
      </c>
      <c r="I23" s="164">
        <f t="shared" si="1"/>
        <v>0</v>
      </c>
      <c r="L23" s="204"/>
      <c r="M23" s="205"/>
      <c r="N23" s="205"/>
    </row>
    <row r="24" spans="1:14" s="144" customFormat="1" ht="18" customHeight="1">
      <c r="A24" s="261"/>
      <c r="B24" s="318"/>
      <c r="C24" s="160"/>
      <c r="D24" s="161"/>
      <c r="E24" s="162"/>
      <c r="F24" s="64"/>
      <c r="G24" s="64"/>
      <c r="H24" s="163">
        <f t="shared" si="2"/>
        <v>0</v>
      </c>
      <c r="I24" s="164">
        <f t="shared" si="1"/>
        <v>0</v>
      </c>
      <c r="L24" s="204"/>
      <c r="M24" s="205"/>
      <c r="N24" s="205"/>
    </row>
    <row r="25" spans="1:14" s="144" customFormat="1" ht="18" customHeight="1">
      <c r="A25" s="261"/>
      <c r="B25" s="318"/>
      <c r="C25" s="160"/>
      <c r="D25" s="181"/>
      <c r="E25" s="177"/>
      <c r="F25" s="64"/>
      <c r="G25" s="64"/>
      <c r="H25" s="163">
        <f t="shared" si="2"/>
        <v>0</v>
      </c>
      <c r="I25" s="164">
        <f t="shared" si="1"/>
        <v>0</v>
      </c>
      <c r="J25" s="64" t="s">
        <v>116</v>
      </c>
      <c r="K25" s="64" t="s">
        <v>94</v>
      </c>
      <c r="L25" s="64"/>
      <c r="M25" s="163" t="s">
        <v>114</v>
      </c>
      <c r="N25" s="163"/>
    </row>
    <row r="26" spans="1:14" s="144" customFormat="1" ht="18" customHeight="1">
      <c r="A26" s="261"/>
      <c r="B26" s="318"/>
      <c r="C26" s="181"/>
      <c r="D26" s="161"/>
      <c r="E26" s="177"/>
      <c r="F26" s="160"/>
      <c r="G26" s="160"/>
      <c r="H26" s="163">
        <f t="shared" si="2"/>
        <v>0</v>
      </c>
      <c r="I26" s="164">
        <f t="shared" si="1"/>
        <v>0</v>
      </c>
      <c r="J26" s="64">
        <v>1</v>
      </c>
      <c r="K26" s="64" t="s">
        <v>125</v>
      </c>
      <c r="L26" s="64">
        <v>10</v>
      </c>
      <c r="M26" s="163" t="s">
        <v>125</v>
      </c>
      <c r="N26" s="163">
        <f>(N4+N5+N6)/3</f>
        <v>1200000</v>
      </c>
    </row>
    <row r="27" spans="1:14" s="144" customFormat="1" ht="18" customHeight="1">
      <c r="A27" s="261"/>
      <c r="B27" s="318"/>
      <c r="C27" s="160"/>
      <c r="D27" s="161"/>
      <c r="E27" s="162"/>
      <c r="F27" s="160"/>
      <c r="G27" s="160"/>
      <c r="H27" s="163">
        <f t="shared" si="2"/>
        <v>0</v>
      </c>
      <c r="I27" s="164">
        <f t="shared" si="1"/>
        <v>0</v>
      </c>
      <c r="J27" s="64">
        <v>2</v>
      </c>
      <c r="K27" s="64" t="s">
        <v>125</v>
      </c>
      <c r="L27" s="64">
        <v>5</v>
      </c>
      <c r="M27" s="163" t="s">
        <v>125</v>
      </c>
      <c r="N27" s="163">
        <f>(N7+N8+N9)/3</f>
        <v>600000</v>
      </c>
    </row>
    <row r="28" spans="1:9" ht="24" customHeight="1">
      <c r="A28" s="1"/>
      <c r="B28" s="3"/>
      <c r="C28" s="196"/>
      <c r="D28" s="197">
        <f>SUM(D4:D27)</f>
        <v>0</v>
      </c>
      <c r="E28" s="196"/>
      <c r="F28" s="3"/>
      <c r="G28" s="198">
        <f>SUM(G4:G27)</f>
        <v>22</v>
      </c>
      <c r="H28" s="198">
        <f>SUM(H4:H27)</f>
        <v>7260000</v>
      </c>
      <c r="I28" s="199"/>
    </row>
  </sheetData>
  <sheetProtection selectLockedCells="1" selectUnlockedCells="1"/>
  <mergeCells count="28">
    <mergeCell ref="F8:F9"/>
    <mergeCell ref="F10:F11"/>
    <mergeCell ref="G4:G5"/>
    <mergeCell ref="G6:G7"/>
    <mergeCell ref="G8:G9"/>
    <mergeCell ref="G10:G11"/>
    <mergeCell ref="B16:B17"/>
    <mergeCell ref="C16:C17"/>
    <mergeCell ref="B18:B19"/>
    <mergeCell ref="C18:C19"/>
    <mergeCell ref="B20:B21"/>
    <mergeCell ref="C20:C21"/>
    <mergeCell ref="B10:B11"/>
    <mergeCell ref="C10:C11"/>
    <mergeCell ref="B12:B13"/>
    <mergeCell ref="C12:C13"/>
    <mergeCell ref="B14:B15"/>
    <mergeCell ref="C14:C15"/>
    <mergeCell ref="B1:N1"/>
    <mergeCell ref="B2:N2"/>
    <mergeCell ref="C4:C5"/>
    <mergeCell ref="C6:C7"/>
    <mergeCell ref="C8:C9"/>
    <mergeCell ref="B4:B5"/>
    <mergeCell ref="B6:B7"/>
    <mergeCell ref="B8:B9"/>
    <mergeCell ref="F4:F5"/>
    <mergeCell ref="F6:F7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8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="150" zoomScaleNormal="150" workbookViewId="0" topLeftCell="A1">
      <selection activeCell="L18" sqref="L18"/>
    </sheetView>
  </sheetViews>
  <sheetFormatPr defaultColWidth="9.140625" defaultRowHeight="12.75"/>
  <cols>
    <col min="1" max="1" width="25.140625" style="141" customWidth="1"/>
    <col min="2" max="2" width="7.8515625" style="142" customWidth="1"/>
    <col min="3" max="3" width="8.421875" style="143" customWidth="1"/>
    <col min="4" max="4" width="6.8515625" style="142" customWidth="1"/>
    <col min="5" max="5" width="8.140625" style="142" customWidth="1"/>
    <col min="6" max="6" width="10.140625" style="142" customWidth="1"/>
    <col min="7" max="7" width="9.140625" style="142" customWidth="1"/>
    <col min="8" max="8" width="13.421875" style="142" customWidth="1"/>
    <col min="9" max="9" width="4.8515625" style="11" customWidth="1"/>
    <col min="10" max="10" width="8.421875" style="11" customWidth="1"/>
    <col min="11" max="11" width="7.00390625" style="11" customWidth="1"/>
    <col min="12" max="12" width="7.8515625" style="11" customWidth="1"/>
    <col min="13" max="13" width="7.421875" style="11" customWidth="1"/>
    <col min="14" max="14" width="12.421875" style="11" customWidth="1"/>
    <col min="15" max="15" width="7.421875" style="11" customWidth="1"/>
    <col min="16" max="16384" width="9.140625" style="11" customWidth="1"/>
  </cols>
  <sheetData>
    <row r="1" spans="2:14" s="144" customFormat="1" ht="43.5" customHeight="1">
      <c r="B1" s="419" t="s">
        <v>195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2:14" s="144" customFormat="1" ht="29.25" customHeight="1">
      <c r="B2" s="425" t="s">
        <v>308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4" s="158" customFormat="1" ht="27" customHeight="1">
      <c r="A3" s="147" t="s">
        <v>88</v>
      </c>
      <c r="B3" s="148" t="s">
        <v>89</v>
      </c>
      <c r="C3" s="148" t="s">
        <v>90</v>
      </c>
      <c r="D3" s="148" t="s">
        <v>91</v>
      </c>
      <c r="E3" s="148" t="s">
        <v>92</v>
      </c>
      <c r="F3" s="149" t="s">
        <v>93</v>
      </c>
      <c r="G3" s="150" t="s">
        <v>94</v>
      </c>
      <c r="H3" s="151" t="s">
        <v>95</v>
      </c>
      <c r="I3" s="152"/>
      <c r="J3" s="153" t="s">
        <v>93</v>
      </c>
      <c r="K3" s="154"/>
      <c r="L3" s="155"/>
      <c r="M3" s="156" t="s">
        <v>94</v>
      </c>
      <c r="N3" s="157" t="s">
        <v>96</v>
      </c>
    </row>
    <row r="4" spans="1:14" s="169" customFormat="1" ht="18" customHeight="1">
      <c r="A4" s="278" t="s">
        <v>46</v>
      </c>
      <c r="B4" s="317">
        <v>14.9</v>
      </c>
      <c r="C4" s="160">
        <v>42</v>
      </c>
      <c r="D4" s="161">
        <v>29</v>
      </c>
      <c r="E4" s="162"/>
      <c r="F4" s="160">
        <v>1</v>
      </c>
      <c r="G4" s="160">
        <v>10</v>
      </c>
      <c r="H4" s="163">
        <f aca="true" t="shared" si="0" ref="H4:H11">N4+I4</f>
        <v>1550000</v>
      </c>
      <c r="I4" s="164">
        <f aca="true" t="shared" si="1" ref="I4:I11">IF(E4&gt;0,$N$13,0)+IF(C4&gt;0,50000,0)+IF(C12&lt;0,50000,0)</f>
        <v>50000</v>
      </c>
      <c r="J4" s="165" t="s">
        <v>97</v>
      </c>
      <c r="K4" s="166"/>
      <c r="L4" s="167"/>
      <c r="M4" s="168">
        <v>10</v>
      </c>
      <c r="N4" s="163">
        <f>N12*25%</f>
        <v>1500000</v>
      </c>
    </row>
    <row r="5" spans="1:14" s="169" customFormat="1" ht="18" customHeight="1">
      <c r="A5" s="261" t="s">
        <v>40</v>
      </c>
      <c r="B5" s="318">
        <v>14.5</v>
      </c>
      <c r="C5" s="160">
        <v>38</v>
      </c>
      <c r="D5" s="161">
        <v>27</v>
      </c>
      <c r="E5" s="177"/>
      <c r="F5" s="160">
        <v>2</v>
      </c>
      <c r="G5" s="160">
        <v>8</v>
      </c>
      <c r="H5" s="163">
        <f t="shared" si="0"/>
        <v>1250000</v>
      </c>
      <c r="I5" s="164">
        <f t="shared" si="1"/>
        <v>50000</v>
      </c>
      <c r="J5" s="170" t="s">
        <v>98</v>
      </c>
      <c r="K5" s="171"/>
      <c r="L5" s="172"/>
      <c r="M5" s="173">
        <v>8</v>
      </c>
      <c r="N5" s="163">
        <f>N12*20%</f>
        <v>1200000</v>
      </c>
    </row>
    <row r="6" spans="1:14" s="169" customFormat="1" ht="18" customHeight="1">
      <c r="A6" s="261" t="s">
        <v>54</v>
      </c>
      <c r="B6" s="318">
        <v>25.1</v>
      </c>
      <c r="C6" s="161">
        <v>38</v>
      </c>
      <c r="D6" s="161">
        <v>36</v>
      </c>
      <c r="E6" s="162"/>
      <c r="F6" s="64">
        <v>3</v>
      </c>
      <c r="G6" s="64">
        <v>6</v>
      </c>
      <c r="H6" s="163">
        <f t="shared" si="0"/>
        <v>950000</v>
      </c>
      <c r="I6" s="164">
        <f t="shared" si="1"/>
        <v>50000</v>
      </c>
      <c r="J6" s="170" t="s">
        <v>99</v>
      </c>
      <c r="K6" s="171"/>
      <c r="L6" s="172"/>
      <c r="M6" s="173">
        <v>6</v>
      </c>
      <c r="N6" s="163">
        <f>N12*15%</f>
        <v>900000</v>
      </c>
    </row>
    <row r="7" spans="1:18" s="169" customFormat="1" ht="18" customHeight="1">
      <c r="A7" s="261" t="s">
        <v>44</v>
      </c>
      <c r="B7" s="318">
        <v>18.2</v>
      </c>
      <c r="C7" s="161">
        <v>37</v>
      </c>
      <c r="D7" s="181">
        <v>33</v>
      </c>
      <c r="E7" s="177"/>
      <c r="F7" s="160">
        <v>4</v>
      </c>
      <c r="G7" s="160">
        <v>5</v>
      </c>
      <c r="H7" s="163">
        <f t="shared" si="0"/>
        <v>770000</v>
      </c>
      <c r="I7" s="164">
        <f t="shared" si="1"/>
        <v>50000</v>
      </c>
      <c r="J7" s="170" t="s">
        <v>100</v>
      </c>
      <c r="K7" s="171"/>
      <c r="L7" s="172"/>
      <c r="M7" s="173">
        <v>5</v>
      </c>
      <c r="N7" s="163">
        <f>N12*12%</f>
        <v>720000</v>
      </c>
      <c r="O7" s="175"/>
      <c r="P7" s="175"/>
      <c r="Q7" s="175"/>
      <c r="R7" s="176"/>
    </row>
    <row r="8" spans="1:14" s="169" customFormat="1" ht="18" customHeight="1">
      <c r="A8" s="261" t="s">
        <v>42</v>
      </c>
      <c r="B8" s="318">
        <v>25</v>
      </c>
      <c r="C8" s="161">
        <v>36</v>
      </c>
      <c r="D8" s="161">
        <v>33</v>
      </c>
      <c r="E8" s="162"/>
      <c r="F8" s="160">
        <v>5</v>
      </c>
      <c r="G8" s="160">
        <v>4</v>
      </c>
      <c r="H8" s="163">
        <f t="shared" si="0"/>
        <v>650000</v>
      </c>
      <c r="I8" s="164">
        <f t="shared" si="1"/>
        <v>50000</v>
      </c>
      <c r="J8" s="170" t="s">
        <v>101</v>
      </c>
      <c r="K8" s="171"/>
      <c r="L8" s="172"/>
      <c r="M8" s="173">
        <v>4</v>
      </c>
      <c r="N8" s="163">
        <f>N12*10%</f>
        <v>600000</v>
      </c>
    </row>
    <row r="9" spans="1:14" s="169" customFormat="1" ht="18" customHeight="1">
      <c r="A9" s="261" t="s">
        <v>12</v>
      </c>
      <c r="B9" s="318">
        <v>12.6</v>
      </c>
      <c r="C9" s="160">
        <v>35</v>
      </c>
      <c r="D9" s="181">
        <v>33</v>
      </c>
      <c r="E9" s="177"/>
      <c r="F9" s="178">
        <v>6</v>
      </c>
      <c r="G9" s="178">
        <v>3</v>
      </c>
      <c r="H9" s="163">
        <f t="shared" si="0"/>
        <v>530000</v>
      </c>
      <c r="I9" s="164">
        <f t="shared" si="1"/>
        <v>50000</v>
      </c>
      <c r="J9" s="170" t="s">
        <v>102</v>
      </c>
      <c r="K9" s="171"/>
      <c r="L9" s="172"/>
      <c r="M9" s="173">
        <v>3</v>
      </c>
      <c r="N9" s="163">
        <f>N12*8%</f>
        <v>480000</v>
      </c>
    </row>
    <row r="10" spans="1:14" s="169" customFormat="1" ht="18" customHeight="1">
      <c r="A10" s="261" t="s">
        <v>14</v>
      </c>
      <c r="B10" s="318">
        <v>18.5</v>
      </c>
      <c r="C10" s="64">
        <v>35</v>
      </c>
      <c r="D10" s="181">
        <v>32</v>
      </c>
      <c r="E10" s="162"/>
      <c r="F10" s="160">
        <v>7</v>
      </c>
      <c r="G10" s="160">
        <v>2</v>
      </c>
      <c r="H10" s="163">
        <f t="shared" si="0"/>
        <v>410000</v>
      </c>
      <c r="I10" s="164">
        <f t="shared" si="1"/>
        <v>50000</v>
      </c>
      <c r="J10" s="170" t="s">
        <v>103</v>
      </c>
      <c r="K10" s="171"/>
      <c r="L10" s="172"/>
      <c r="M10" s="173">
        <v>2</v>
      </c>
      <c r="N10" s="163">
        <f>N12*6%</f>
        <v>360000</v>
      </c>
    </row>
    <row r="11" spans="1:14" s="169" customFormat="1" ht="18" customHeight="1">
      <c r="A11" s="261" t="s">
        <v>32</v>
      </c>
      <c r="B11" s="318">
        <v>12.8</v>
      </c>
      <c r="C11" s="181">
        <v>34</v>
      </c>
      <c r="D11" s="161">
        <v>31</v>
      </c>
      <c r="E11" s="177"/>
      <c r="F11" s="160">
        <v>8</v>
      </c>
      <c r="G11" s="160">
        <v>1</v>
      </c>
      <c r="H11" s="163">
        <f t="shared" si="0"/>
        <v>290000</v>
      </c>
      <c r="I11" s="164">
        <f t="shared" si="1"/>
        <v>50000</v>
      </c>
      <c r="J11" s="170" t="s">
        <v>104</v>
      </c>
      <c r="K11" s="171"/>
      <c r="L11" s="172"/>
      <c r="M11" s="173">
        <v>1</v>
      </c>
      <c r="N11" s="163">
        <f>N12*4%</f>
        <v>240000</v>
      </c>
    </row>
    <row r="12" spans="1:14" s="169" customFormat="1" ht="18" customHeight="1">
      <c r="A12" s="261" t="s">
        <v>56</v>
      </c>
      <c r="B12" s="318">
        <v>14</v>
      </c>
      <c r="C12" s="161">
        <v>34</v>
      </c>
      <c r="D12" s="181">
        <v>32</v>
      </c>
      <c r="E12" s="177">
        <v>6.69</v>
      </c>
      <c r="F12" s="160"/>
      <c r="G12" s="160"/>
      <c r="H12" s="163">
        <f aca="true" t="shared" si="2" ref="H12:H27">I12</f>
        <v>410000</v>
      </c>
      <c r="I12" s="164">
        <f aca="true" t="shared" si="3" ref="I12:I27">IF(E12&gt;0,$N$13,0)+IF(C12&gt;0,50000,0)+IF(C12&lt;0,50000,0)</f>
        <v>410000</v>
      </c>
      <c r="J12" s="179" t="s">
        <v>105</v>
      </c>
      <c r="K12" s="171"/>
      <c r="L12" s="172"/>
      <c r="M12" s="173"/>
      <c r="N12" s="180">
        <v>6000000</v>
      </c>
    </row>
    <row r="13" spans="1:14" s="169" customFormat="1" ht="18" customHeight="1">
      <c r="A13" s="261" t="s">
        <v>38</v>
      </c>
      <c r="B13" s="318">
        <v>22.5</v>
      </c>
      <c r="C13" s="160">
        <v>34</v>
      </c>
      <c r="D13" s="161">
        <v>33</v>
      </c>
      <c r="E13" s="162"/>
      <c r="F13" s="160"/>
      <c r="G13" s="160"/>
      <c r="H13" s="163">
        <f t="shared" si="2"/>
        <v>50000</v>
      </c>
      <c r="I13" s="164">
        <f t="shared" si="3"/>
        <v>50000</v>
      </c>
      <c r="J13" s="182" t="s">
        <v>106</v>
      </c>
      <c r="K13" s="183"/>
      <c r="L13" s="184"/>
      <c r="M13" s="185">
        <v>1</v>
      </c>
      <c r="N13" s="186">
        <f>N10</f>
        <v>360000</v>
      </c>
    </row>
    <row r="14" spans="1:14" s="169" customFormat="1" ht="18" customHeight="1">
      <c r="A14" s="261" t="s">
        <v>10</v>
      </c>
      <c r="B14" s="318">
        <v>22.9</v>
      </c>
      <c r="C14" s="160">
        <v>34</v>
      </c>
      <c r="D14" s="181">
        <v>41</v>
      </c>
      <c r="E14" s="162"/>
      <c r="F14" s="160"/>
      <c r="G14" s="160"/>
      <c r="H14" s="163">
        <f t="shared" si="2"/>
        <v>50000</v>
      </c>
      <c r="I14" s="164">
        <f t="shared" si="3"/>
        <v>50000</v>
      </c>
      <c r="J14" s="187"/>
      <c r="K14" s="183"/>
      <c r="L14" s="183"/>
      <c r="M14" s="188"/>
      <c r="N14" s="189"/>
    </row>
    <row r="15" spans="1:14" s="169" customFormat="1" ht="18" customHeight="1">
      <c r="A15" s="261" t="s">
        <v>16</v>
      </c>
      <c r="B15" s="318">
        <v>9.8</v>
      </c>
      <c r="C15" s="160">
        <v>33</v>
      </c>
      <c r="D15" s="161">
        <v>28</v>
      </c>
      <c r="E15" s="162"/>
      <c r="F15" s="160"/>
      <c r="G15" s="160"/>
      <c r="H15" s="163">
        <f t="shared" si="2"/>
        <v>50000</v>
      </c>
      <c r="I15" s="164">
        <f t="shared" si="3"/>
        <v>50000</v>
      </c>
      <c r="J15" s="190"/>
      <c r="K15" s="191"/>
      <c r="L15" s="191"/>
      <c r="M15" s="192"/>
      <c r="N15" s="193"/>
    </row>
    <row r="16" spans="1:9" s="169" customFormat="1" ht="18" customHeight="1">
      <c r="A16" s="261" t="s">
        <v>18</v>
      </c>
      <c r="B16" s="318">
        <v>18</v>
      </c>
      <c r="C16" s="160">
        <v>33</v>
      </c>
      <c r="D16" s="161">
        <v>36</v>
      </c>
      <c r="E16" s="177"/>
      <c r="F16" s="64"/>
      <c r="G16" s="64"/>
      <c r="H16" s="163">
        <f t="shared" si="2"/>
        <v>50000</v>
      </c>
      <c r="I16" s="164">
        <f t="shared" si="3"/>
        <v>50000</v>
      </c>
    </row>
    <row r="17" spans="1:18" s="169" customFormat="1" ht="18" customHeight="1">
      <c r="A17" s="261" t="s">
        <v>50</v>
      </c>
      <c r="B17" s="318">
        <v>7.5</v>
      </c>
      <c r="C17" s="161">
        <v>31</v>
      </c>
      <c r="D17" s="161">
        <v>33</v>
      </c>
      <c r="E17" s="162"/>
      <c r="F17" s="64"/>
      <c r="G17" s="64"/>
      <c r="H17" s="163">
        <f t="shared" si="2"/>
        <v>50000</v>
      </c>
      <c r="I17" s="164">
        <f t="shared" si="3"/>
        <v>50000</v>
      </c>
      <c r="O17" s="175"/>
      <c r="P17" s="175"/>
      <c r="Q17" s="175"/>
      <c r="R17" s="176"/>
    </row>
    <row r="18" spans="1:13" s="169" customFormat="1" ht="18" customHeight="1">
      <c r="A18" s="261" t="s">
        <v>48</v>
      </c>
      <c r="B18" s="318">
        <v>21.1</v>
      </c>
      <c r="C18" s="160">
        <v>29</v>
      </c>
      <c r="D18" s="161">
        <v>42</v>
      </c>
      <c r="E18" s="162"/>
      <c r="F18" s="160"/>
      <c r="G18" s="160"/>
      <c r="H18" s="163">
        <f t="shared" si="2"/>
        <v>50000</v>
      </c>
      <c r="I18" s="164">
        <f t="shared" si="3"/>
        <v>50000</v>
      </c>
      <c r="J18" s="176"/>
      <c r="K18" s="176"/>
      <c r="L18" s="176"/>
      <c r="M18" s="176"/>
    </row>
    <row r="19" spans="1:13" s="169" customFormat="1" ht="18" customHeight="1">
      <c r="A19" s="261" t="s">
        <v>20</v>
      </c>
      <c r="B19" s="318">
        <v>14.5</v>
      </c>
      <c r="C19" s="160">
        <v>28</v>
      </c>
      <c r="D19" s="161">
        <v>35</v>
      </c>
      <c r="E19" s="162"/>
      <c r="F19" s="160"/>
      <c r="G19" s="160"/>
      <c r="H19" s="163">
        <f t="shared" si="2"/>
        <v>50000</v>
      </c>
      <c r="I19" s="164">
        <f t="shared" si="3"/>
        <v>50000</v>
      </c>
      <c r="J19" s="176"/>
      <c r="K19" s="176"/>
      <c r="L19" s="176"/>
      <c r="M19" s="176"/>
    </row>
    <row r="20" spans="1:9" s="144" customFormat="1" ht="18" customHeight="1">
      <c r="A20" s="261" t="s">
        <v>36</v>
      </c>
      <c r="B20" s="318">
        <v>15.1</v>
      </c>
      <c r="C20" s="160">
        <v>27</v>
      </c>
      <c r="D20" s="181">
        <v>33</v>
      </c>
      <c r="E20" s="177"/>
      <c r="F20" s="64"/>
      <c r="G20" s="64"/>
      <c r="H20" s="163">
        <f t="shared" si="2"/>
        <v>50000</v>
      </c>
      <c r="I20" s="164">
        <f t="shared" si="3"/>
        <v>50000</v>
      </c>
    </row>
    <row r="21" spans="1:9" s="144" customFormat="1" ht="18" customHeight="1">
      <c r="A21" s="261" t="s">
        <v>30</v>
      </c>
      <c r="B21" s="318">
        <v>10.8</v>
      </c>
      <c r="C21" s="160"/>
      <c r="D21" s="161"/>
      <c r="E21" s="162"/>
      <c r="F21" s="64"/>
      <c r="G21" s="64"/>
      <c r="H21" s="163">
        <f t="shared" si="2"/>
        <v>0</v>
      </c>
      <c r="I21" s="164">
        <f t="shared" si="3"/>
        <v>0</v>
      </c>
    </row>
    <row r="22" spans="1:9" s="144" customFormat="1" ht="18" customHeight="1">
      <c r="A22" s="261" t="s">
        <v>52</v>
      </c>
      <c r="B22" s="318">
        <v>11</v>
      </c>
      <c r="C22" s="160"/>
      <c r="D22" s="181"/>
      <c r="E22" s="162"/>
      <c r="F22" s="64"/>
      <c r="G22" s="64"/>
      <c r="H22" s="163">
        <f t="shared" si="2"/>
        <v>0</v>
      </c>
      <c r="I22" s="164">
        <f t="shared" si="3"/>
        <v>0</v>
      </c>
    </row>
    <row r="23" spans="1:9" s="144" customFormat="1" ht="18" customHeight="1">
      <c r="A23" s="261" t="s">
        <v>34</v>
      </c>
      <c r="B23" s="318">
        <v>14</v>
      </c>
      <c r="C23" s="160"/>
      <c r="D23" s="161"/>
      <c r="E23" s="177"/>
      <c r="F23" s="64"/>
      <c r="G23" s="64"/>
      <c r="H23" s="163">
        <f t="shared" si="2"/>
        <v>0</v>
      </c>
      <c r="I23" s="164">
        <f t="shared" si="3"/>
        <v>0</v>
      </c>
    </row>
    <row r="24" spans="1:9" s="144" customFormat="1" ht="18" customHeight="1">
      <c r="A24" s="261" t="s">
        <v>26</v>
      </c>
      <c r="B24" s="318">
        <v>14.4</v>
      </c>
      <c r="C24" s="160"/>
      <c r="D24" s="181"/>
      <c r="E24" s="162"/>
      <c r="F24" s="64"/>
      <c r="G24" s="64"/>
      <c r="H24" s="163">
        <f t="shared" si="2"/>
        <v>0</v>
      </c>
      <c r="I24" s="164">
        <f t="shared" si="3"/>
        <v>0</v>
      </c>
    </row>
    <row r="25" spans="1:9" s="144" customFormat="1" ht="18" customHeight="1">
      <c r="A25" s="261" t="s">
        <v>24</v>
      </c>
      <c r="B25" s="318">
        <v>15</v>
      </c>
      <c r="C25" s="161"/>
      <c r="D25" s="161"/>
      <c r="E25" s="162"/>
      <c r="F25" s="64"/>
      <c r="G25" s="64"/>
      <c r="H25" s="163">
        <f t="shared" si="2"/>
        <v>0</v>
      </c>
      <c r="I25" s="164">
        <f t="shared" si="3"/>
        <v>0</v>
      </c>
    </row>
    <row r="26" spans="1:9" s="144" customFormat="1" ht="18" customHeight="1">
      <c r="A26" s="261" t="s">
        <v>28</v>
      </c>
      <c r="B26" s="318">
        <v>18.7</v>
      </c>
      <c r="C26" s="64"/>
      <c r="D26" s="161"/>
      <c r="E26" s="162"/>
      <c r="F26" s="160"/>
      <c r="G26" s="160"/>
      <c r="H26" s="163">
        <f t="shared" si="2"/>
        <v>0</v>
      </c>
      <c r="I26" s="164">
        <f t="shared" si="3"/>
        <v>0</v>
      </c>
    </row>
    <row r="27" spans="1:9" s="144" customFormat="1" ht="18" customHeight="1">
      <c r="A27" s="261" t="s">
        <v>58</v>
      </c>
      <c r="B27" s="318">
        <v>20.8</v>
      </c>
      <c r="C27" s="160"/>
      <c r="D27" s="161"/>
      <c r="E27" s="162"/>
      <c r="F27" s="160"/>
      <c r="G27" s="160"/>
      <c r="H27" s="163">
        <f t="shared" si="2"/>
        <v>0</v>
      </c>
      <c r="I27" s="164">
        <f t="shared" si="3"/>
        <v>0</v>
      </c>
    </row>
    <row r="28" spans="1:9" ht="24" customHeight="1">
      <c r="A28" s="1"/>
      <c r="B28" s="3"/>
      <c r="C28" s="196"/>
      <c r="D28" s="197">
        <f>SUM(D4:D27)</f>
        <v>567</v>
      </c>
      <c r="E28" s="196"/>
      <c r="F28" s="3"/>
      <c r="G28" s="198">
        <f>SUM(G4:G27)</f>
        <v>39</v>
      </c>
      <c r="H28" s="198">
        <f>SUM(H4:H27)</f>
        <v>7210000</v>
      </c>
      <c r="I28" s="19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="150" zoomScaleNormal="150" workbookViewId="0" topLeftCell="A1">
      <selection activeCell="A1" sqref="A1:N28"/>
    </sheetView>
  </sheetViews>
  <sheetFormatPr defaultColWidth="9.140625" defaultRowHeight="12.75"/>
  <cols>
    <col min="1" max="1" width="25.140625" style="141" customWidth="1"/>
    <col min="2" max="2" width="7.8515625" style="142" customWidth="1"/>
    <col min="3" max="3" width="8.421875" style="143" customWidth="1"/>
    <col min="4" max="4" width="6.8515625" style="142" customWidth="1"/>
    <col min="5" max="5" width="8.140625" style="142" customWidth="1"/>
    <col min="6" max="6" width="10.140625" style="142" customWidth="1"/>
    <col min="7" max="7" width="9.140625" style="142" customWidth="1"/>
    <col min="8" max="8" width="13.421875" style="142" customWidth="1"/>
    <col min="9" max="9" width="4.8515625" style="11" customWidth="1"/>
    <col min="10" max="10" width="8.421875" style="11" customWidth="1"/>
    <col min="11" max="11" width="7.00390625" style="11" customWidth="1"/>
    <col min="12" max="12" width="7.8515625" style="11" customWidth="1"/>
    <col min="13" max="13" width="7.421875" style="11" customWidth="1"/>
    <col min="14" max="14" width="12.421875" style="11" customWidth="1"/>
    <col min="15" max="15" width="7.421875" style="11" customWidth="1"/>
    <col min="16" max="16384" width="9.140625" style="11" customWidth="1"/>
  </cols>
  <sheetData>
    <row r="1" spans="2:14" s="144" customFormat="1" ht="43.5" customHeight="1">
      <c r="B1" s="419" t="s">
        <v>120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2:14" s="144" customFormat="1" ht="29.25" customHeight="1">
      <c r="B2" s="425" t="s">
        <v>305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4" s="158" customFormat="1" ht="27" customHeight="1">
      <c r="A3" s="147" t="s">
        <v>88</v>
      </c>
      <c r="B3" s="148" t="s">
        <v>89</v>
      </c>
      <c r="C3" s="148" t="s">
        <v>121</v>
      </c>
      <c r="D3" s="148" t="s">
        <v>91</v>
      </c>
      <c r="E3" s="148" t="s">
        <v>92</v>
      </c>
      <c r="F3" s="149" t="s">
        <v>93</v>
      </c>
      <c r="G3" s="150" t="s">
        <v>94</v>
      </c>
      <c r="H3" s="151" t="s">
        <v>95</v>
      </c>
      <c r="I3" s="152"/>
      <c r="J3" s="153" t="s">
        <v>93</v>
      </c>
      <c r="K3" s="154"/>
      <c r="L3" s="155"/>
      <c r="M3" s="156" t="s">
        <v>94</v>
      </c>
      <c r="N3" s="157" t="s">
        <v>96</v>
      </c>
    </row>
    <row r="4" spans="1:14" s="169" customFormat="1" ht="18" customHeight="1">
      <c r="A4" s="278" t="s">
        <v>30</v>
      </c>
      <c r="B4" s="317">
        <v>11</v>
      </c>
      <c r="C4" s="160">
        <v>71</v>
      </c>
      <c r="D4" s="161">
        <v>27</v>
      </c>
      <c r="E4" s="162">
        <v>0.86</v>
      </c>
      <c r="F4" s="160">
        <v>1</v>
      </c>
      <c r="G4" s="160">
        <v>10</v>
      </c>
      <c r="H4" s="163">
        <f aca="true" t="shared" si="0" ref="H4:H11">N4+I4</f>
        <v>2530000</v>
      </c>
      <c r="I4" s="164">
        <f aca="true" t="shared" si="1" ref="I4:I11">IF(E4&gt;0,$N$13,0)+IF(C4&gt;0,50000,0)+IF(C12&lt;0,50000,0)</f>
        <v>530000</v>
      </c>
      <c r="J4" s="165" t="s">
        <v>97</v>
      </c>
      <c r="K4" s="166"/>
      <c r="L4" s="167"/>
      <c r="M4" s="168">
        <v>10</v>
      </c>
      <c r="N4" s="163">
        <f>N12*25%</f>
        <v>2000000</v>
      </c>
    </row>
    <row r="5" spans="1:14" s="169" customFormat="1" ht="18" customHeight="1">
      <c r="A5" s="261" t="s">
        <v>48</v>
      </c>
      <c r="B5" s="318">
        <v>20.8</v>
      </c>
      <c r="C5" s="160">
        <v>71</v>
      </c>
      <c r="D5" s="161">
        <v>29</v>
      </c>
      <c r="E5" s="177">
        <v>4.89</v>
      </c>
      <c r="F5" s="160">
        <v>2</v>
      </c>
      <c r="G5" s="160">
        <v>8</v>
      </c>
      <c r="H5" s="163">
        <v>1750000</v>
      </c>
      <c r="I5" s="164">
        <f t="shared" si="1"/>
        <v>530000</v>
      </c>
      <c r="J5" s="170" t="s">
        <v>98</v>
      </c>
      <c r="K5" s="171"/>
      <c r="L5" s="172"/>
      <c r="M5" s="173">
        <v>8</v>
      </c>
      <c r="N5" s="163">
        <f>N12*20%</f>
        <v>1600000</v>
      </c>
    </row>
    <row r="6" spans="1:14" s="169" customFormat="1" ht="18" customHeight="1">
      <c r="A6" s="261" t="s">
        <v>56</v>
      </c>
      <c r="B6" s="318">
        <v>14.1</v>
      </c>
      <c r="C6" s="161">
        <v>75</v>
      </c>
      <c r="D6" s="181">
        <v>31</v>
      </c>
      <c r="E6" s="177">
        <v>2.61</v>
      </c>
      <c r="F6" s="64">
        <v>3</v>
      </c>
      <c r="G6" s="64">
        <v>6</v>
      </c>
      <c r="H6" s="163">
        <v>1350000</v>
      </c>
      <c r="I6" s="164">
        <f t="shared" si="1"/>
        <v>530000</v>
      </c>
      <c r="J6" s="170" t="s">
        <v>99</v>
      </c>
      <c r="K6" s="171"/>
      <c r="L6" s="172"/>
      <c r="M6" s="173">
        <v>6</v>
      </c>
      <c r="N6" s="163">
        <f>N12*15%</f>
        <v>1200000</v>
      </c>
    </row>
    <row r="7" spans="1:18" s="169" customFormat="1" ht="18" customHeight="1">
      <c r="A7" s="261" t="s">
        <v>40</v>
      </c>
      <c r="B7" s="318">
        <v>14.6</v>
      </c>
      <c r="C7" s="160">
        <v>75</v>
      </c>
      <c r="D7" s="181">
        <v>33</v>
      </c>
      <c r="E7" s="162"/>
      <c r="F7" s="160">
        <v>4</v>
      </c>
      <c r="G7" s="160">
        <v>5</v>
      </c>
      <c r="H7" s="163">
        <f t="shared" si="0"/>
        <v>1010000</v>
      </c>
      <c r="I7" s="164">
        <f t="shared" si="1"/>
        <v>50000</v>
      </c>
      <c r="J7" s="170" t="s">
        <v>100</v>
      </c>
      <c r="K7" s="171"/>
      <c r="L7" s="172"/>
      <c r="M7" s="173">
        <v>5</v>
      </c>
      <c r="N7" s="163">
        <f>N12*12%</f>
        <v>960000</v>
      </c>
      <c r="O7" s="175"/>
      <c r="P7" s="175"/>
      <c r="Q7" s="175"/>
      <c r="R7" s="176"/>
    </row>
    <row r="8" spans="1:14" s="169" customFormat="1" ht="18" customHeight="1">
      <c r="A8" s="261" t="s">
        <v>16</v>
      </c>
      <c r="B8" s="318">
        <v>9.9</v>
      </c>
      <c r="C8" s="160">
        <v>76</v>
      </c>
      <c r="D8" s="181">
        <v>35</v>
      </c>
      <c r="E8" s="162"/>
      <c r="F8" s="160">
        <v>5</v>
      </c>
      <c r="G8" s="160">
        <v>4</v>
      </c>
      <c r="H8" s="163">
        <f t="shared" si="0"/>
        <v>850000</v>
      </c>
      <c r="I8" s="164">
        <f t="shared" si="1"/>
        <v>50000</v>
      </c>
      <c r="J8" s="170" t="s">
        <v>101</v>
      </c>
      <c r="K8" s="171"/>
      <c r="L8" s="172"/>
      <c r="M8" s="173">
        <v>4</v>
      </c>
      <c r="N8" s="163">
        <f>N12*10%</f>
        <v>800000</v>
      </c>
    </row>
    <row r="9" spans="1:14" s="169" customFormat="1" ht="18" customHeight="1">
      <c r="A9" s="261" t="s">
        <v>46</v>
      </c>
      <c r="B9" s="318">
        <v>15</v>
      </c>
      <c r="C9" s="160">
        <v>76</v>
      </c>
      <c r="D9" s="181">
        <v>35</v>
      </c>
      <c r="E9" s="162">
        <v>7.9</v>
      </c>
      <c r="F9" s="178">
        <v>6</v>
      </c>
      <c r="G9" s="178">
        <v>3</v>
      </c>
      <c r="H9" s="163">
        <v>790000</v>
      </c>
      <c r="I9" s="164">
        <f t="shared" si="1"/>
        <v>530000</v>
      </c>
      <c r="J9" s="170" t="s">
        <v>102</v>
      </c>
      <c r="K9" s="171"/>
      <c r="L9" s="172"/>
      <c r="M9" s="173">
        <v>3</v>
      </c>
      <c r="N9" s="163">
        <f>N12*8%</f>
        <v>640000</v>
      </c>
    </row>
    <row r="10" spans="1:14" s="169" customFormat="1" ht="18" customHeight="1">
      <c r="A10" s="261" t="s">
        <v>32</v>
      </c>
      <c r="B10" s="318">
        <v>12.6</v>
      </c>
      <c r="C10" s="160">
        <v>77</v>
      </c>
      <c r="D10" s="181">
        <v>31</v>
      </c>
      <c r="E10" s="162"/>
      <c r="F10" s="160">
        <v>7</v>
      </c>
      <c r="G10" s="160">
        <v>2</v>
      </c>
      <c r="H10" s="163">
        <f t="shared" si="0"/>
        <v>530000</v>
      </c>
      <c r="I10" s="164">
        <f t="shared" si="1"/>
        <v>50000</v>
      </c>
      <c r="J10" s="170" t="s">
        <v>103</v>
      </c>
      <c r="K10" s="171"/>
      <c r="L10" s="172"/>
      <c r="M10" s="173">
        <v>2</v>
      </c>
      <c r="N10" s="163">
        <f>N12*6%</f>
        <v>480000</v>
      </c>
    </row>
    <row r="11" spans="1:14" s="169" customFormat="1" ht="18" customHeight="1">
      <c r="A11" s="261" t="s">
        <v>20</v>
      </c>
      <c r="B11" s="318">
        <v>14.7</v>
      </c>
      <c r="C11" s="160">
        <v>77</v>
      </c>
      <c r="D11" s="161">
        <v>36</v>
      </c>
      <c r="E11" s="162"/>
      <c r="F11" s="160">
        <v>8</v>
      </c>
      <c r="G11" s="160">
        <v>1</v>
      </c>
      <c r="H11" s="163">
        <f t="shared" si="0"/>
        <v>370000</v>
      </c>
      <c r="I11" s="164">
        <f t="shared" si="1"/>
        <v>50000</v>
      </c>
      <c r="J11" s="170" t="s">
        <v>104</v>
      </c>
      <c r="K11" s="171"/>
      <c r="L11" s="172"/>
      <c r="M11" s="173">
        <v>1</v>
      </c>
      <c r="N11" s="163">
        <f>N12*4%</f>
        <v>320000</v>
      </c>
    </row>
    <row r="12" spans="1:14" s="169" customFormat="1" ht="18" customHeight="1">
      <c r="A12" s="261" t="s">
        <v>14</v>
      </c>
      <c r="B12" s="318">
        <v>18.5</v>
      </c>
      <c r="C12" s="160">
        <v>77</v>
      </c>
      <c r="D12" s="161">
        <v>36</v>
      </c>
      <c r="E12" s="162"/>
      <c r="F12" s="160"/>
      <c r="G12" s="160"/>
      <c r="H12" s="163">
        <f aca="true" t="shared" si="2" ref="H12:H27">I12</f>
        <v>50000</v>
      </c>
      <c r="I12" s="164">
        <f aca="true" t="shared" si="3" ref="I12:I27">IF(E12&gt;0,$N$13,0)+IF(C12&gt;0,50000,0)+IF(C12&lt;0,50000,0)</f>
        <v>50000</v>
      </c>
      <c r="J12" s="179" t="s">
        <v>105</v>
      </c>
      <c r="K12" s="171"/>
      <c r="L12" s="172"/>
      <c r="M12" s="173"/>
      <c r="N12" s="180">
        <v>8000000</v>
      </c>
    </row>
    <row r="13" spans="1:14" s="169" customFormat="1" ht="18" customHeight="1">
      <c r="A13" s="261" t="s">
        <v>28</v>
      </c>
      <c r="B13" s="318">
        <v>19</v>
      </c>
      <c r="C13" s="64">
        <v>77</v>
      </c>
      <c r="D13" s="181">
        <v>35</v>
      </c>
      <c r="E13" s="162"/>
      <c r="F13" s="160"/>
      <c r="G13" s="160"/>
      <c r="H13" s="163">
        <f t="shared" si="2"/>
        <v>50000</v>
      </c>
      <c r="I13" s="164">
        <f t="shared" si="3"/>
        <v>50000</v>
      </c>
      <c r="J13" s="182" t="s">
        <v>106</v>
      </c>
      <c r="K13" s="183"/>
      <c r="L13" s="184"/>
      <c r="M13" s="185">
        <v>1</v>
      </c>
      <c r="N13" s="186">
        <f>N10</f>
        <v>480000</v>
      </c>
    </row>
    <row r="14" spans="1:14" s="169" customFormat="1" ht="18" customHeight="1">
      <c r="A14" s="261" t="s">
        <v>50</v>
      </c>
      <c r="B14" s="318">
        <v>7.4</v>
      </c>
      <c r="C14" s="160">
        <v>78</v>
      </c>
      <c r="D14" s="181">
        <v>32</v>
      </c>
      <c r="E14" s="162"/>
      <c r="F14" s="160"/>
      <c r="G14" s="160"/>
      <c r="H14" s="163">
        <f t="shared" si="2"/>
        <v>50000</v>
      </c>
      <c r="I14" s="164">
        <f t="shared" si="3"/>
        <v>50000</v>
      </c>
      <c r="J14" s="187"/>
      <c r="K14" s="183"/>
      <c r="L14" s="183"/>
      <c r="M14" s="188"/>
      <c r="N14" s="189"/>
    </row>
    <row r="15" spans="1:14" s="169" customFormat="1" ht="18" customHeight="1">
      <c r="A15" s="261" t="s">
        <v>52</v>
      </c>
      <c r="B15" s="318">
        <v>11</v>
      </c>
      <c r="C15" s="160">
        <v>79</v>
      </c>
      <c r="D15" s="161">
        <v>27</v>
      </c>
      <c r="E15" s="162"/>
      <c r="F15" s="160"/>
      <c r="G15" s="160"/>
      <c r="H15" s="163">
        <f t="shared" si="2"/>
        <v>50000</v>
      </c>
      <c r="I15" s="164">
        <f t="shared" si="3"/>
        <v>50000</v>
      </c>
      <c r="J15" s="190"/>
      <c r="K15" s="191"/>
      <c r="L15" s="191"/>
      <c r="M15" s="192"/>
      <c r="N15" s="193"/>
    </row>
    <row r="16" spans="1:9" s="169" customFormat="1" ht="18" customHeight="1">
      <c r="A16" s="261" t="s">
        <v>18</v>
      </c>
      <c r="B16" s="318">
        <v>18.3</v>
      </c>
      <c r="C16" s="160">
        <v>79</v>
      </c>
      <c r="D16" s="161">
        <v>29</v>
      </c>
      <c r="E16" s="162">
        <v>2.98</v>
      </c>
      <c r="F16" s="64"/>
      <c r="G16" s="64"/>
      <c r="H16" s="163">
        <v>150000</v>
      </c>
      <c r="I16" s="164">
        <f t="shared" si="3"/>
        <v>530000</v>
      </c>
    </row>
    <row r="17" spans="1:18" s="169" customFormat="1" ht="18" customHeight="1">
      <c r="A17" s="261" t="s">
        <v>24</v>
      </c>
      <c r="B17" s="318">
        <v>15.2</v>
      </c>
      <c r="C17" s="160">
        <v>80</v>
      </c>
      <c r="D17" s="161">
        <v>32</v>
      </c>
      <c r="E17" s="162"/>
      <c r="F17" s="64"/>
      <c r="G17" s="64"/>
      <c r="H17" s="163">
        <f t="shared" si="2"/>
        <v>50000</v>
      </c>
      <c r="I17" s="164">
        <f t="shared" si="3"/>
        <v>50000</v>
      </c>
      <c r="O17" s="175"/>
      <c r="P17" s="175"/>
      <c r="Q17" s="175"/>
      <c r="R17" s="176"/>
    </row>
    <row r="18" spans="1:13" s="169" customFormat="1" ht="18" customHeight="1">
      <c r="A18" s="261" t="s">
        <v>54</v>
      </c>
      <c r="B18" s="318">
        <v>25.1</v>
      </c>
      <c r="C18" s="161">
        <v>80</v>
      </c>
      <c r="D18" s="181">
        <v>35</v>
      </c>
      <c r="E18" s="177"/>
      <c r="F18" s="160"/>
      <c r="G18" s="160"/>
      <c r="H18" s="163">
        <f t="shared" si="2"/>
        <v>50000</v>
      </c>
      <c r="I18" s="164">
        <f t="shared" si="3"/>
        <v>50000</v>
      </c>
      <c r="J18" s="176"/>
      <c r="K18" s="176"/>
      <c r="L18" s="176"/>
      <c r="M18" s="176"/>
    </row>
    <row r="19" spans="1:13" s="169" customFormat="1" ht="18" customHeight="1">
      <c r="A19" s="261" t="s">
        <v>44</v>
      </c>
      <c r="B19" s="318" t="s">
        <v>301</v>
      </c>
      <c r="C19" s="64">
        <v>81</v>
      </c>
      <c r="D19" s="161">
        <v>34</v>
      </c>
      <c r="E19" s="162"/>
      <c r="F19" s="160"/>
      <c r="G19" s="160"/>
      <c r="H19" s="163">
        <f t="shared" si="2"/>
        <v>50000</v>
      </c>
      <c r="I19" s="164">
        <f t="shared" si="3"/>
        <v>50000</v>
      </c>
      <c r="J19" s="176"/>
      <c r="K19" s="176"/>
      <c r="L19" s="176"/>
      <c r="M19" s="176"/>
    </row>
    <row r="20" spans="1:9" s="144" customFormat="1" ht="18" customHeight="1">
      <c r="A20" s="261" t="s">
        <v>12</v>
      </c>
      <c r="B20" s="318">
        <v>12.8</v>
      </c>
      <c r="C20" s="161">
        <v>85</v>
      </c>
      <c r="D20" s="161">
        <v>31</v>
      </c>
      <c r="E20" s="177"/>
      <c r="F20" s="64"/>
      <c r="G20" s="64"/>
      <c r="H20" s="163">
        <f t="shared" si="2"/>
        <v>50000</v>
      </c>
      <c r="I20" s="164">
        <f t="shared" si="3"/>
        <v>50000</v>
      </c>
    </row>
    <row r="21" spans="1:9" s="144" customFormat="1" ht="18" customHeight="1">
      <c r="A21" s="261" t="s">
        <v>42</v>
      </c>
      <c r="B21" s="318">
        <v>25.2</v>
      </c>
      <c r="C21" s="161">
        <v>88</v>
      </c>
      <c r="D21" s="161">
        <v>40</v>
      </c>
      <c r="E21" s="162"/>
      <c r="F21" s="64"/>
      <c r="G21" s="64"/>
      <c r="H21" s="163">
        <f t="shared" si="2"/>
        <v>50000</v>
      </c>
      <c r="I21" s="164">
        <f t="shared" si="3"/>
        <v>50000</v>
      </c>
    </row>
    <row r="22" spans="1:9" s="144" customFormat="1" ht="18" customHeight="1">
      <c r="A22" s="261"/>
      <c r="B22" s="318"/>
      <c r="C22" s="160"/>
      <c r="D22" s="161"/>
      <c r="E22" s="177"/>
      <c r="F22" s="64"/>
      <c r="G22" s="64"/>
      <c r="H22" s="163">
        <f t="shared" si="2"/>
        <v>0</v>
      </c>
      <c r="I22" s="164">
        <f t="shared" si="3"/>
        <v>0</v>
      </c>
    </row>
    <row r="23" spans="1:9" s="144" customFormat="1" ht="18" customHeight="1">
      <c r="A23" s="261"/>
      <c r="B23" s="318"/>
      <c r="C23" s="161"/>
      <c r="D23" s="161"/>
      <c r="E23" s="177"/>
      <c r="F23" s="64"/>
      <c r="G23" s="64"/>
      <c r="H23" s="163">
        <f t="shared" si="2"/>
        <v>0</v>
      </c>
      <c r="I23" s="164">
        <f t="shared" si="3"/>
        <v>0</v>
      </c>
    </row>
    <row r="24" spans="1:9" s="144" customFormat="1" ht="18" customHeight="1">
      <c r="A24" s="261"/>
      <c r="B24" s="318"/>
      <c r="C24" s="160"/>
      <c r="D24" s="161"/>
      <c r="E24" s="177"/>
      <c r="F24" s="64"/>
      <c r="G24" s="64"/>
      <c r="H24" s="163">
        <f t="shared" si="2"/>
        <v>0</v>
      </c>
      <c r="I24" s="164">
        <f t="shared" si="3"/>
        <v>0</v>
      </c>
    </row>
    <row r="25" spans="1:9" s="144" customFormat="1" ht="18" customHeight="1">
      <c r="A25" s="261"/>
      <c r="B25" s="318"/>
      <c r="C25" s="160"/>
      <c r="D25" s="161"/>
      <c r="E25" s="177"/>
      <c r="F25" s="64"/>
      <c r="G25" s="64"/>
      <c r="H25" s="163">
        <f t="shared" si="2"/>
        <v>0</v>
      </c>
      <c r="I25" s="164">
        <f t="shared" si="3"/>
        <v>0</v>
      </c>
    </row>
    <row r="26" spans="1:9" s="144" customFormat="1" ht="18" customHeight="1">
      <c r="A26" s="261"/>
      <c r="B26" s="318"/>
      <c r="C26" s="181"/>
      <c r="D26" s="161"/>
      <c r="E26" s="162"/>
      <c r="F26" s="160"/>
      <c r="G26" s="160"/>
      <c r="H26" s="163">
        <f t="shared" si="2"/>
        <v>0</v>
      </c>
      <c r="I26" s="164">
        <f t="shared" si="3"/>
        <v>0</v>
      </c>
    </row>
    <row r="27" spans="1:9" s="144" customFormat="1" ht="18" customHeight="1">
      <c r="A27" s="261"/>
      <c r="B27" s="318"/>
      <c r="C27" s="161"/>
      <c r="D27" s="161"/>
      <c r="E27" s="162"/>
      <c r="F27" s="160"/>
      <c r="G27" s="160"/>
      <c r="H27" s="163">
        <f t="shared" si="2"/>
        <v>0</v>
      </c>
      <c r="I27" s="164">
        <f t="shared" si="3"/>
        <v>0</v>
      </c>
    </row>
    <row r="28" spans="1:9" ht="24" customHeight="1">
      <c r="A28" s="1"/>
      <c r="B28" s="3"/>
      <c r="C28" s="196"/>
      <c r="D28" s="197">
        <f>SUM(D4:D27)</f>
        <v>588</v>
      </c>
      <c r="E28" s="196"/>
      <c r="F28" s="3"/>
      <c r="G28" s="198">
        <f>SUM(G4:G27)</f>
        <v>39</v>
      </c>
      <c r="H28" s="198">
        <f>SUM(H4:H27)</f>
        <v>9780000</v>
      </c>
      <c r="I28" s="19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8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="150" zoomScaleNormal="150" workbookViewId="0" topLeftCell="A1">
      <selection activeCell="A1" sqref="A1:N28"/>
    </sheetView>
  </sheetViews>
  <sheetFormatPr defaultColWidth="9.140625" defaultRowHeight="12.75"/>
  <cols>
    <col min="1" max="1" width="25.140625" style="141" customWidth="1"/>
    <col min="2" max="2" width="7.8515625" style="142" customWidth="1"/>
    <col min="3" max="3" width="8.421875" style="143" customWidth="1"/>
    <col min="4" max="4" width="6.8515625" style="142" customWidth="1"/>
    <col min="5" max="5" width="8.140625" style="142" customWidth="1"/>
    <col min="6" max="6" width="10.140625" style="142" customWidth="1"/>
    <col min="7" max="7" width="9.140625" style="142" customWidth="1"/>
    <col min="8" max="8" width="13.421875" style="142" customWidth="1"/>
    <col min="9" max="9" width="4.8515625" style="11" customWidth="1"/>
    <col min="10" max="10" width="8.421875" style="11" customWidth="1"/>
    <col min="11" max="11" width="7.00390625" style="11" customWidth="1"/>
    <col min="12" max="12" width="7.8515625" style="11" customWidth="1"/>
    <col min="13" max="13" width="7.421875" style="11" customWidth="1"/>
    <col min="14" max="14" width="12.421875" style="11" customWidth="1"/>
    <col min="15" max="15" width="7.421875" style="11" customWidth="1"/>
    <col min="16" max="16384" width="9.140625" style="11" customWidth="1"/>
  </cols>
  <sheetData>
    <row r="1" spans="2:14" s="144" customFormat="1" ht="43.5" customHeight="1">
      <c r="B1" s="419" t="s">
        <v>122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2:14" s="144" customFormat="1" ht="29.25" customHeight="1">
      <c r="B2" s="425" t="s">
        <v>303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4" s="158" customFormat="1" ht="27" customHeight="1">
      <c r="A3" s="147" t="s">
        <v>88</v>
      </c>
      <c r="B3" s="148" t="s">
        <v>89</v>
      </c>
      <c r="C3" s="148" t="s">
        <v>90</v>
      </c>
      <c r="D3" s="148" t="s">
        <v>123</v>
      </c>
      <c r="E3" s="148" t="s">
        <v>92</v>
      </c>
      <c r="F3" s="149" t="s">
        <v>93</v>
      </c>
      <c r="G3" s="150" t="s">
        <v>94</v>
      </c>
      <c r="H3" s="151" t="s">
        <v>95</v>
      </c>
      <c r="I3" s="152"/>
      <c r="J3" s="153" t="s">
        <v>93</v>
      </c>
      <c r="K3" s="154"/>
      <c r="L3" s="155"/>
      <c r="M3" s="156" t="s">
        <v>94</v>
      </c>
      <c r="N3" s="157" t="s">
        <v>96</v>
      </c>
    </row>
    <row r="4" spans="1:14" s="169" customFormat="1" ht="18" customHeight="1">
      <c r="A4" s="278" t="s">
        <v>50</v>
      </c>
      <c r="B4" s="317">
        <v>7.5</v>
      </c>
      <c r="C4" s="161">
        <v>37</v>
      </c>
      <c r="D4" s="161">
        <v>29</v>
      </c>
      <c r="E4" s="177"/>
      <c r="F4" s="160">
        <v>1</v>
      </c>
      <c r="G4" s="160">
        <v>10</v>
      </c>
      <c r="H4" s="163">
        <f aca="true" t="shared" si="0" ref="H4:H11">N4+I4</f>
        <v>1550000</v>
      </c>
      <c r="I4" s="164">
        <f aca="true" t="shared" si="1" ref="I4:I11">IF(E4&gt;0,$N$13,0)+IF(C4&gt;0,50000,0)+IF(C12&lt;0,50000,0)</f>
        <v>50000</v>
      </c>
      <c r="J4" s="165" t="s">
        <v>97</v>
      </c>
      <c r="K4" s="166"/>
      <c r="L4" s="167"/>
      <c r="M4" s="168">
        <v>10</v>
      </c>
      <c r="N4" s="163">
        <f>N12*25%</f>
        <v>1500000</v>
      </c>
    </row>
    <row r="5" spans="1:14" s="169" customFormat="1" ht="18" customHeight="1">
      <c r="A5" s="261" t="s">
        <v>44</v>
      </c>
      <c r="B5" s="318" t="s">
        <v>301</v>
      </c>
      <c r="C5" s="160">
        <v>35</v>
      </c>
      <c r="D5" s="161">
        <v>35</v>
      </c>
      <c r="E5" s="162"/>
      <c r="F5" s="160">
        <v>2</v>
      </c>
      <c r="G5" s="160">
        <v>8</v>
      </c>
      <c r="H5" s="163">
        <f t="shared" si="0"/>
        <v>1250000</v>
      </c>
      <c r="I5" s="164">
        <f t="shared" si="1"/>
        <v>50000</v>
      </c>
      <c r="J5" s="170" t="s">
        <v>98</v>
      </c>
      <c r="K5" s="171"/>
      <c r="L5" s="172"/>
      <c r="M5" s="173">
        <v>8</v>
      </c>
      <c r="N5" s="163">
        <f>N12*20%</f>
        <v>1200000</v>
      </c>
    </row>
    <row r="6" spans="1:14" s="169" customFormat="1" ht="18" customHeight="1">
      <c r="A6" s="261" t="s">
        <v>52</v>
      </c>
      <c r="B6" s="318">
        <v>10.9</v>
      </c>
      <c r="C6" s="64">
        <v>33</v>
      </c>
      <c r="D6" s="181">
        <v>34</v>
      </c>
      <c r="E6" s="162"/>
      <c r="F6" s="64">
        <v>3</v>
      </c>
      <c r="G6" s="64">
        <v>6</v>
      </c>
      <c r="H6" s="163">
        <f t="shared" si="0"/>
        <v>950000</v>
      </c>
      <c r="I6" s="164">
        <f t="shared" si="1"/>
        <v>50000</v>
      </c>
      <c r="J6" s="170" t="s">
        <v>99</v>
      </c>
      <c r="K6" s="171"/>
      <c r="L6" s="172"/>
      <c r="M6" s="173">
        <v>6</v>
      </c>
      <c r="N6" s="163">
        <f>N12*15%</f>
        <v>900000</v>
      </c>
    </row>
    <row r="7" spans="1:16" s="169" customFormat="1" ht="18" customHeight="1">
      <c r="A7" s="261" t="s">
        <v>36</v>
      </c>
      <c r="B7" s="318">
        <v>14.2</v>
      </c>
      <c r="C7" s="160">
        <v>33</v>
      </c>
      <c r="D7" s="181">
        <v>31</v>
      </c>
      <c r="E7" s="162"/>
      <c r="F7" s="160">
        <v>4</v>
      </c>
      <c r="G7" s="160">
        <v>5</v>
      </c>
      <c r="H7" s="163">
        <f t="shared" si="0"/>
        <v>770000</v>
      </c>
      <c r="I7" s="164">
        <f t="shared" si="1"/>
        <v>50000</v>
      </c>
      <c r="J7" s="170" t="s">
        <v>100</v>
      </c>
      <c r="K7" s="171"/>
      <c r="L7" s="172"/>
      <c r="M7" s="173">
        <v>5</v>
      </c>
      <c r="N7" s="163">
        <f>N12*12%</f>
        <v>720000</v>
      </c>
      <c r="O7" s="175"/>
      <c r="P7" s="175"/>
    </row>
    <row r="8" spans="1:14" s="169" customFormat="1" ht="18" customHeight="1">
      <c r="A8" s="261" t="s">
        <v>40</v>
      </c>
      <c r="B8" s="318">
        <v>14.6</v>
      </c>
      <c r="C8" s="160">
        <v>33</v>
      </c>
      <c r="D8" s="161">
        <v>32</v>
      </c>
      <c r="E8" s="177"/>
      <c r="F8" s="160">
        <v>5</v>
      </c>
      <c r="G8" s="160">
        <v>4</v>
      </c>
      <c r="H8" s="163">
        <f t="shared" si="0"/>
        <v>650000</v>
      </c>
      <c r="I8" s="164">
        <f t="shared" si="1"/>
        <v>50000</v>
      </c>
      <c r="J8" s="170" t="s">
        <v>101</v>
      </c>
      <c r="K8" s="171"/>
      <c r="L8" s="172"/>
      <c r="M8" s="173">
        <v>4</v>
      </c>
      <c r="N8" s="163">
        <f>N12*10%</f>
        <v>600000</v>
      </c>
    </row>
    <row r="9" spans="1:14" s="169" customFormat="1" ht="18" customHeight="1">
      <c r="A9" s="261" t="s">
        <v>10</v>
      </c>
      <c r="B9" s="318">
        <v>22.9</v>
      </c>
      <c r="C9" s="161">
        <v>33</v>
      </c>
      <c r="D9" s="161">
        <v>37</v>
      </c>
      <c r="E9" s="177"/>
      <c r="F9" s="178">
        <v>6</v>
      </c>
      <c r="G9" s="178">
        <v>3</v>
      </c>
      <c r="H9" s="163">
        <f t="shared" si="0"/>
        <v>530000</v>
      </c>
      <c r="I9" s="164">
        <f t="shared" si="1"/>
        <v>50000</v>
      </c>
      <c r="J9" s="170" t="s">
        <v>102</v>
      </c>
      <c r="K9" s="171"/>
      <c r="L9" s="172"/>
      <c r="M9" s="173">
        <v>3</v>
      </c>
      <c r="N9" s="163">
        <f>N12*8%</f>
        <v>480000</v>
      </c>
    </row>
    <row r="10" spans="1:14" s="169" customFormat="1" ht="18" customHeight="1">
      <c r="A10" s="261" t="s">
        <v>26</v>
      </c>
      <c r="B10" s="318">
        <v>14.4</v>
      </c>
      <c r="C10" s="160">
        <v>32</v>
      </c>
      <c r="D10" s="161">
        <v>30</v>
      </c>
      <c r="E10" s="177"/>
      <c r="F10" s="160">
        <v>7</v>
      </c>
      <c r="G10" s="160">
        <v>2</v>
      </c>
      <c r="H10" s="163">
        <f t="shared" si="0"/>
        <v>410000</v>
      </c>
      <c r="I10" s="164">
        <f t="shared" si="1"/>
        <v>50000</v>
      </c>
      <c r="J10" s="170" t="s">
        <v>103</v>
      </c>
      <c r="K10" s="171"/>
      <c r="L10" s="172"/>
      <c r="M10" s="173">
        <v>2</v>
      </c>
      <c r="N10" s="163">
        <f>N12*6%</f>
        <v>360000</v>
      </c>
    </row>
    <row r="11" spans="1:14" s="169" customFormat="1" ht="18" customHeight="1">
      <c r="A11" s="261" t="s">
        <v>16</v>
      </c>
      <c r="B11" s="318">
        <v>9.8</v>
      </c>
      <c r="C11" s="161">
        <v>30</v>
      </c>
      <c r="D11" s="181">
        <v>33</v>
      </c>
      <c r="E11" s="162"/>
      <c r="F11" s="160">
        <v>8</v>
      </c>
      <c r="G11" s="160">
        <v>1</v>
      </c>
      <c r="H11" s="163">
        <f t="shared" si="0"/>
        <v>290000</v>
      </c>
      <c r="I11" s="164">
        <f t="shared" si="1"/>
        <v>50000</v>
      </c>
      <c r="J11" s="170" t="s">
        <v>104</v>
      </c>
      <c r="K11" s="171"/>
      <c r="L11" s="172"/>
      <c r="M11" s="173">
        <v>1</v>
      </c>
      <c r="N11" s="163">
        <f>N12*4%</f>
        <v>240000</v>
      </c>
    </row>
    <row r="12" spans="1:14" s="169" customFormat="1" ht="18" customHeight="1">
      <c r="A12" s="261" t="s">
        <v>32</v>
      </c>
      <c r="B12" s="318">
        <v>12.5</v>
      </c>
      <c r="C12" s="181">
        <v>30</v>
      </c>
      <c r="D12" s="161">
        <v>30</v>
      </c>
      <c r="E12" s="162"/>
      <c r="F12" s="160"/>
      <c r="G12" s="160"/>
      <c r="H12" s="163">
        <f aca="true" t="shared" si="2" ref="H12:H27">I12</f>
        <v>50000</v>
      </c>
      <c r="I12" s="164">
        <f aca="true" t="shared" si="3" ref="I12:I27">IF(E12&gt;0,$N$13,0)+IF(C12&gt;0,50000,0)+IF(C12&lt;0,50000,0)</f>
        <v>50000</v>
      </c>
      <c r="J12" s="179" t="s">
        <v>105</v>
      </c>
      <c r="K12" s="171"/>
      <c r="L12" s="172"/>
      <c r="M12" s="173"/>
      <c r="N12" s="180">
        <v>6000000</v>
      </c>
    </row>
    <row r="13" spans="1:14" s="169" customFormat="1" ht="18" customHeight="1">
      <c r="A13" s="261" t="s">
        <v>12</v>
      </c>
      <c r="B13" s="318">
        <v>12.6</v>
      </c>
      <c r="C13" s="161">
        <v>30</v>
      </c>
      <c r="D13" s="161">
        <v>33</v>
      </c>
      <c r="E13" s="162">
        <v>5.08</v>
      </c>
      <c r="F13" s="160"/>
      <c r="G13" s="160"/>
      <c r="H13" s="163">
        <f t="shared" si="2"/>
        <v>410000</v>
      </c>
      <c r="I13" s="164">
        <f t="shared" si="3"/>
        <v>410000</v>
      </c>
      <c r="J13" s="182" t="s">
        <v>106</v>
      </c>
      <c r="K13" s="183"/>
      <c r="L13" s="184"/>
      <c r="M13" s="185">
        <v>1</v>
      </c>
      <c r="N13" s="186">
        <f>N10</f>
        <v>360000</v>
      </c>
    </row>
    <row r="14" spans="1:14" s="169" customFormat="1" ht="18" customHeight="1">
      <c r="A14" s="261" t="s">
        <v>20</v>
      </c>
      <c r="B14" s="318">
        <v>14.6</v>
      </c>
      <c r="C14" s="161">
        <v>30</v>
      </c>
      <c r="D14" s="181">
        <v>29</v>
      </c>
      <c r="E14" s="177"/>
      <c r="F14" s="160"/>
      <c r="G14" s="160"/>
      <c r="H14" s="163">
        <f t="shared" si="2"/>
        <v>50000</v>
      </c>
      <c r="I14" s="164">
        <f t="shared" si="3"/>
        <v>50000</v>
      </c>
      <c r="J14" s="187"/>
      <c r="K14" s="183"/>
      <c r="L14" s="183"/>
      <c r="M14" s="188"/>
      <c r="N14" s="189"/>
    </row>
    <row r="15" spans="1:14" s="169" customFormat="1" ht="18" customHeight="1">
      <c r="A15" s="261" t="s">
        <v>18</v>
      </c>
      <c r="B15" s="318">
        <v>18.2</v>
      </c>
      <c r="C15" s="160">
        <v>30</v>
      </c>
      <c r="D15" s="161">
        <v>37</v>
      </c>
      <c r="E15" s="162"/>
      <c r="F15" s="160"/>
      <c r="G15" s="160"/>
      <c r="H15" s="163">
        <f t="shared" si="2"/>
        <v>50000</v>
      </c>
      <c r="I15" s="164">
        <f t="shared" si="3"/>
        <v>50000</v>
      </c>
      <c r="J15" s="190"/>
      <c r="K15" s="191"/>
      <c r="L15" s="191"/>
      <c r="M15" s="192"/>
      <c r="N15" s="193"/>
    </row>
    <row r="16" spans="1:9" s="169" customFormat="1" ht="18" customHeight="1">
      <c r="A16" s="261" t="s">
        <v>24</v>
      </c>
      <c r="B16" s="318">
        <v>15.1</v>
      </c>
      <c r="C16" s="160">
        <v>27</v>
      </c>
      <c r="D16" s="181">
        <v>40</v>
      </c>
      <c r="E16" s="162"/>
      <c r="F16" s="64"/>
      <c r="G16" s="64"/>
      <c r="H16" s="163">
        <f t="shared" si="2"/>
        <v>50000</v>
      </c>
      <c r="I16" s="164">
        <f t="shared" si="3"/>
        <v>50000</v>
      </c>
    </row>
    <row r="17" spans="1:9" s="169" customFormat="1" ht="18" customHeight="1">
      <c r="A17" s="261" t="s">
        <v>30</v>
      </c>
      <c r="B17" s="318">
        <v>10.9</v>
      </c>
      <c r="C17" s="160">
        <v>26</v>
      </c>
      <c r="D17" s="161">
        <v>34</v>
      </c>
      <c r="E17" s="177"/>
      <c r="F17" s="64"/>
      <c r="G17" s="64"/>
      <c r="H17" s="163">
        <f t="shared" si="2"/>
        <v>50000</v>
      </c>
      <c r="I17" s="164">
        <f t="shared" si="3"/>
        <v>50000</v>
      </c>
    </row>
    <row r="18" spans="1:12" s="169" customFormat="1" ht="18" customHeight="1">
      <c r="A18" s="261" t="s">
        <v>28</v>
      </c>
      <c r="B18" s="318">
        <v>18.9</v>
      </c>
      <c r="C18" s="160">
        <v>26</v>
      </c>
      <c r="D18" s="161">
        <v>36</v>
      </c>
      <c r="E18" s="177"/>
      <c r="F18" s="160"/>
      <c r="G18" s="160"/>
      <c r="H18" s="163">
        <f t="shared" si="2"/>
        <v>50000</v>
      </c>
      <c r="I18" s="164">
        <f t="shared" si="3"/>
        <v>50000</v>
      </c>
      <c r="J18" s="176"/>
      <c r="K18" s="176"/>
      <c r="L18" s="176"/>
    </row>
    <row r="19" spans="1:12" s="169" customFormat="1" ht="18" customHeight="1">
      <c r="A19" s="261" t="s">
        <v>38</v>
      </c>
      <c r="B19" s="318">
        <v>22.6</v>
      </c>
      <c r="C19" s="160">
        <v>26</v>
      </c>
      <c r="D19" s="161">
        <v>42</v>
      </c>
      <c r="E19" s="177"/>
      <c r="F19" s="160"/>
      <c r="G19" s="160"/>
      <c r="H19" s="163">
        <f t="shared" si="2"/>
        <v>50000</v>
      </c>
      <c r="I19" s="164">
        <f t="shared" si="3"/>
        <v>50000</v>
      </c>
      <c r="J19" s="176"/>
      <c r="K19" s="176"/>
      <c r="L19" s="176"/>
    </row>
    <row r="20" spans="1:9" s="144" customFormat="1" ht="18" customHeight="1">
      <c r="A20" s="261" t="s">
        <v>42</v>
      </c>
      <c r="B20" s="318">
        <v>25.1</v>
      </c>
      <c r="C20" s="160">
        <v>26</v>
      </c>
      <c r="D20" s="181">
        <v>38</v>
      </c>
      <c r="E20" s="162"/>
      <c r="F20" s="64"/>
      <c r="G20" s="64"/>
      <c r="H20" s="163">
        <f t="shared" si="2"/>
        <v>50000</v>
      </c>
      <c r="I20" s="164">
        <f t="shared" si="3"/>
        <v>50000</v>
      </c>
    </row>
    <row r="21" spans="1:9" s="144" customFormat="1" ht="18" customHeight="1">
      <c r="A21" s="261" t="s">
        <v>48</v>
      </c>
      <c r="B21" s="318">
        <v>20.7</v>
      </c>
      <c r="C21" s="160">
        <v>23</v>
      </c>
      <c r="D21" s="161">
        <v>40</v>
      </c>
      <c r="E21" s="162"/>
      <c r="F21" s="64"/>
      <c r="G21" s="64"/>
      <c r="H21" s="163">
        <f t="shared" si="2"/>
        <v>50000</v>
      </c>
      <c r="I21" s="164">
        <f t="shared" si="3"/>
        <v>50000</v>
      </c>
    </row>
    <row r="22" spans="1:9" s="144" customFormat="1" ht="18" customHeight="1">
      <c r="A22" s="261"/>
      <c r="B22" s="318"/>
      <c r="C22" s="160"/>
      <c r="D22" s="181"/>
      <c r="E22" s="162"/>
      <c r="F22" s="64"/>
      <c r="G22" s="64"/>
      <c r="H22" s="163">
        <f t="shared" si="2"/>
        <v>0</v>
      </c>
      <c r="I22" s="164">
        <f t="shared" si="3"/>
        <v>0</v>
      </c>
    </row>
    <row r="23" spans="1:9" s="144" customFormat="1" ht="18" customHeight="1">
      <c r="A23" s="261"/>
      <c r="B23" s="318"/>
      <c r="C23" s="160"/>
      <c r="D23" s="161"/>
      <c r="E23" s="162"/>
      <c r="F23" s="64"/>
      <c r="G23" s="64"/>
      <c r="H23" s="163">
        <f t="shared" si="2"/>
        <v>0</v>
      </c>
      <c r="I23" s="164">
        <f t="shared" si="3"/>
        <v>0</v>
      </c>
    </row>
    <row r="24" spans="1:9" s="144" customFormat="1" ht="18" customHeight="1">
      <c r="A24" s="261"/>
      <c r="B24" s="318"/>
      <c r="C24" s="160"/>
      <c r="D24" s="181"/>
      <c r="E24" s="162"/>
      <c r="F24" s="64"/>
      <c r="G24" s="64"/>
      <c r="H24" s="163">
        <f t="shared" si="2"/>
        <v>0</v>
      </c>
      <c r="I24" s="164">
        <f t="shared" si="3"/>
        <v>0</v>
      </c>
    </row>
    <row r="25" spans="1:9" s="144" customFormat="1" ht="18" customHeight="1">
      <c r="A25" s="261"/>
      <c r="B25" s="318"/>
      <c r="C25" s="161"/>
      <c r="D25" s="161"/>
      <c r="E25" s="162"/>
      <c r="F25" s="64"/>
      <c r="G25" s="64"/>
      <c r="H25" s="163">
        <f t="shared" si="2"/>
        <v>0</v>
      </c>
      <c r="I25" s="164">
        <f t="shared" si="3"/>
        <v>0</v>
      </c>
    </row>
    <row r="26" spans="1:9" s="144" customFormat="1" ht="18" customHeight="1">
      <c r="A26" s="261"/>
      <c r="B26" s="318"/>
      <c r="C26" s="64"/>
      <c r="D26" s="161"/>
      <c r="E26" s="162"/>
      <c r="F26" s="160"/>
      <c r="G26" s="160"/>
      <c r="H26" s="163">
        <f t="shared" si="2"/>
        <v>0</v>
      </c>
      <c r="I26" s="164">
        <f t="shared" si="3"/>
        <v>0</v>
      </c>
    </row>
    <row r="27" spans="1:9" s="144" customFormat="1" ht="18" customHeight="1">
      <c r="A27" s="65"/>
      <c r="B27" s="66"/>
      <c r="C27" s="160"/>
      <c r="D27" s="161"/>
      <c r="E27" s="162"/>
      <c r="F27" s="160"/>
      <c r="G27" s="160"/>
      <c r="H27" s="163">
        <f t="shared" si="2"/>
        <v>0</v>
      </c>
      <c r="I27" s="164">
        <f t="shared" si="3"/>
        <v>0</v>
      </c>
    </row>
    <row r="28" spans="1:9" ht="24" customHeight="1">
      <c r="A28" s="1"/>
      <c r="B28" s="3"/>
      <c r="C28" s="196"/>
      <c r="D28" s="197">
        <f>SUM(D4:D27)</f>
        <v>620</v>
      </c>
      <c r="E28" s="196"/>
      <c r="F28" s="3"/>
      <c r="G28" s="198">
        <f>SUM(G4:G27)</f>
        <v>39</v>
      </c>
      <c r="H28" s="198">
        <f>SUM(H4:H27)</f>
        <v>7260000</v>
      </c>
      <c r="I28" s="19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9"/>
  <sheetViews>
    <sheetView zoomScale="150" zoomScaleNormal="150" workbookViewId="0" topLeftCell="A1">
      <selection activeCell="B9" sqref="B9:C9"/>
    </sheetView>
  </sheetViews>
  <sheetFormatPr defaultColWidth="11.57421875" defaultRowHeight="12.75"/>
  <cols>
    <col min="1" max="1" width="10.8515625" style="3" customWidth="1"/>
    <col min="2" max="2" width="37.140625" style="1" customWidth="1"/>
    <col min="3" max="3" width="11.421875" style="1" customWidth="1"/>
    <col min="4" max="4" width="14.140625" style="1" customWidth="1"/>
    <col min="5" max="16384" width="11.421875" style="1" customWidth="1"/>
  </cols>
  <sheetData>
    <row r="1" spans="1:4" ht="12.75">
      <c r="A1" s="62" t="s">
        <v>324</v>
      </c>
      <c r="B1" s="63" t="s">
        <v>8</v>
      </c>
      <c r="C1" s="63" t="s">
        <v>9</v>
      </c>
      <c r="D1" s="316"/>
    </row>
    <row r="2" spans="1:4" ht="12.75">
      <c r="A2" s="277">
        <v>4726</v>
      </c>
      <c r="B2" s="278" t="s">
        <v>10</v>
      </c>
      <c r="C2" s="317">
        <v>22.9</v>
      </c>
      <c r="D2" s="278" t="s">
        <v>11</v>
      </c>
    </row>
    <row r="3" spans="1:4" ht="12.75">
      <c r="A3" s="280">
        <v>4737</v>
      </c>
      <c r="B3" s="261" t="s">
        <v>12</v>
      </c>
      <c r="C3" s="318">
        <v>13.1</v>
      </c>
      <c r="D3" s="261" t="s">
        <v>13</v>
      </c>
    </row>
    <row r="4" spans="1:4" ht="12.75">
      <c r="A4" s="280">
        <v>1354</v>
      </c>
      <c r="B4" s="261" t="s">
        <v>14</v>
      </c>
      <c r="C4" s="318">
        <v>18.6</v>
      </c>
      <c r="D4" s="261" t="s">
        <v>15</v>
      </c>
    </row>
    <row r="5" spans="1:4" ht="12.75">
      <c r="A5" s="280">
        <v>2619</v>
      </c>
      <c r="B5" s="261" t="s">
        <v>16</v>
      </c>
      <c r="C5" s="318">
        <v>10.1</v>
      </c>
      <c r="D5" s="261" t="s">
        <v>17</v>
      </c>
    </row>
    <row r="6" spans="1:4" ht="12.75">
      <c r="A6" s="319">
        <v>3488</v>
      </c>
      <c r="B6" s="261" t="s">
        <v>18</v>
      </c>
      <c r="C6" s="318">
        <v>18.7</v>
      </c>
      <c r="D6" s="261" t="s">
        <v>19</v>
      </c>
    </row>
    <row r="7" spans="1:4" ht="12.75">
      <c r="A7" s="280">
        <v>3768</v>
      </c>
      <c r="B7" s="261" t="s">
        <v>20</v>
      </c>
      <c r="C7" s="318">
        <v>14.3</v>
      </c>
      <c r="D7" s="261" t="s">
        <v>21</v>
      </c>
    </row>
    <row r="8" spans="1:4" ht="12.75">
      <c r="A8" s="280">
        <v>3112</v>
      </c>
      <c r="B8" s="261" t="s">
        <v>24</v>
      </c>
      <c r="C8" s="318">
        <v>15.5</v>
      </c>
      <c r="D8" s="261" t="s">
        <v>25</v>
      </c>
    </row>
    <row r="9" spans="1:4" ht="12.75">
      <c r="A9" s="280">
        <v>3898</v>
      </c>
      <c r="B9" s="261" t="s">
        <v>26</v>
      </c>
      <c r="C9" s="318">
        <v>14.6</v>
      </c>
      <c r="D9" s="261" t="s">
        <v>27</v>
      </c>
    </row>
    <row r="10" spans="1:4" ht="12.75">
      <c r="A10" s="280">
        <v>3157</v>
      </c>
      <c r="B10" s="261" t="s">
        <v>28</v>
      </c>
      <c r="C10" s="318">
        <v>19.3</v>
      </c>
      <c r="D10" s="261" t="s">
        <v>29</v>
      </c>
    </row>
    <row r="11" spans="1:4" ht="12.75">
      <c r="A11" s="280">
        <v>4596</v>
      </c>
      <c r="B11" s="261" t="s">
        <v>30</v>
      </c>
      <c r="C11" s="318">
        <v>11.2</v>
      </c>
      <c r="D11" s="261" t="s">
        <v>31</v>
      </c>
    </row>
    <row r="12" spans="1:4" ht="12.75">
      <c r="A12" s="280">
        <v>4765</v>
      </c>
      <c r="B12" s="261" t="s">
        <v>32</v>
      </c>
      <c r="C12" s="318">
        <v>11.9</v>
      </c>
      <c r="D12" s="261" t="s">
        <v>33</v>
      </c>
    </row>
    <row r="13" spans="1:4" ht="12.75">
      <c r="A13" s="280">
        <v>2646</v>
      </c>
      <c r="B13" s="261" t="s">
        <v>34</v>
      </c>
      <c r="C13" s="318">
        <v>13.4</v>
      </c>
      <c r="D13" s="261" t="s">
        <v>35</v>
      </c>
    </row>
    <row r="14" spans="1:4" ht="12.75">
      <c r="A14" s="280">
        <v>2332</v>
      </c>
      <c r="B14" s="261" t="s">
        <v>36</v>
      </c>
      <c r="C14" s="318">
        <v>13.9</v>
      </c>
      <c r="D14" s="261" t="s">
        <v>37</v>
      </c>
    </row>
    <row r="15" spans="1:4" ht="12.75">
      <c r="A15" s="280">
        <v>4875</v>
      </c>
      <c r="B15" s="261" t="s">
        <v>38</v>
      </c>
      <c r="C15" s="318">
        <v>22.1</v>
      </c>
      <c r="D15" s="261" t="s">
        <v>39</v>
      </c>
    </row>
    <row r="16" spans="1:4" ht="12.75">
      <c r="A16" s="280">
        <v>3181</v>
      </c>
      <c r="B16" s="261" t="s">
        <v>40</v>
      </c>
      <c r="C16" s="318">
        <v>14.3</v>
      </c>
      <c r="D16" s="261" t="s">
        <v>41</v>
      </c>
    </row>
    <row r="17" spans="1:4" ht="12.75">
      <c r="A17" s="280">
        <v>4975</v>
      </c>
      <c r="B17" s="261" t="s">
        <v>42</v>
      </c>
      <c r="C17" s="318">
        <v>24.3</v>
      </c>
      <c r="D17" s="261" t="s">
        <v>43</v>
      </c>
    </row>
    <row r="18" spans="1:4" ht="12.75">
      <c r="A18" s="280">
        <v>4620</v>
      </c>
      <c r="B18" s="261" t="s">
        <v>44</v>
      </c>
      <c r="C18" s="318">
        <v>18.1</v>
      </c>
      <c r="D18" s="261" t="s">
        <v>45</v>
      </c>
    </row>
    <row r="19" spans="1:4" ht="12.75">
      <c r="A19" s="280">
        <v>3912</v>
      </c>
      <c r="B19" s="261" t="s">
        <v>46</v>
      </c>
      <c r="C19" s="318">
        <v>13.1</v>
      </c>
      <c r="D19" s="261" t="s">
        <v>47</v>
      </c>
    </row>
    <row r="20" spans="1:4" ht="12.75">
      <c r="A20" s="280">
        <v>3831</v>
      </c>
      <c r="B20" s="261" t="s">
        <v>48</v>
      </c>
      <c r="C20" s="318">
        <v>18.2</v>
      </c>
      <c r="D20" s="261" t="s">
        <v>49</v>
      </c>
    </row>
    <row r="21" spans="1:4" ht="12.75">
      <c r="A21" s="280">
        <v>1972</v>
      </c>
      <c r="B21" s="261" t="s">
        <v>58</v>
      </c>
      <c r="C21" s="318">
        <v>21</v>
      </c>
      <c r="D21" s="261" t="s">
        <v>59</v>
      </c>
    </row>
    <row r="22" spans="1:4" ht="12.75">
      <c r="A22" s="280">
        <v>2991</v>
      </c>
      <c r="B22" s="261" t="s">
        <v>50</v>
      </c>
      <c r="C22" s="318">
        <v>7.1</v>
      </c>
      <c r="D22" s="261" t="s">
        <v>51</v>
      </c>
    </row>
    <row r="23" spans="1:4" ht="12.75">
      <c r="A23" s="280">
        <v>3747</v>
      </c>
      <c r="B23" s="261" t="s">
        <v>52</v>
      </c>
      <c r="C23" s="318">
        <v>11.5</v>
      </c>
      <c r="D23" s="261" t="s">
        <v>53</v>
      </c>
    </row>
    <row r="24" spans="1:4" ht="12.75">
      <c r="A24" s="319">
        <v>2919</v>
      </c>
      <c r="B24" s="261" t="s">
        <v>54</v>
      </c>
      <c r="C24" s="318">
        <v>23</v>
      </c>
      <c r="D24" s="261" t="s">
        <v>55</v>
      </c>
    </row>
    <row r="25" spans="1:4" ht="12.75">
      <c r="A25" s="280">
        <v>4949</v>
      </c>
      <c r="B25" s="261" t="s">
        <v>56</v>
      </c>
      <c r="C25" s="318">
        <v>13.6</v>
      </c>
      <c r="D25" s="261" t="s">
        <v>57</v>
      </c>
    </row>
    <row r="29" spans="1:4" s="321" customFormat="1" ht="12.75">
      <c r="A29" s="283">
        <v>4638</v>
      </c>
      <c r="B29" s="284" t="s">
        <v>22</v>
      </c>
      <c r="C29" s="320">
        <v>17.8</v>
      </c>
      <c r="D29" s="284" t="s">
        <v>23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workbookViewId="0" topLeftCell="A1">
      <selection activeCell="B3" sqref="B3"/>
    </sheetView>
  </sheetViews>
  <sheetFormatPr defaultColWidth="9.140625" defaultRowHeight="12.75"/>
  <cols>
    <col min="1" max="1" width="25.140625" style="141" customWidth="1"/>
    <col min="2" max="2" width="7.8515625" style="142" customWidth="1"/>
    <col min="3" max="3" width="8.421875" style="143" customWidth="1"/>
    <col min="4" max="4" width="6.8515625" style="142" customWidth="1"/>
    <col min="5" max="5" width="8.140625" style="142" customWidth="1"/>
    <col min="6" max="6" width="10.140625" style="142" customWidth="1"/>
    <col min="7" max="7" width="9.140625" style="142" customWidth="1"/>
    <col min="8" max="8" width="13.421875" style="142" customWidth="1"/>
    <col min="9" max="9" width="4.8515625" style="11" customWidth="1"/>
    <col min="10" max="10" width="8.421875" style="11" customWidth="1"/>
    <col min="11" max="11" width="7.00390625" style="11" customWidth="1"/>
    <col min="12" max="12" width="7.8515625" style="11" customWidth="1"/>
    <col min="13" max="13" width="7.421875" style="11" customWidth="1"/>
    <col min="14" max="14" width="12.421875" style="11" customWidth="1"/>
    <col min="15" max="15" width="7.421875" style="11" customWidth="1"/>
    <col min="16" max="16384" width="9.140625" style="11" customWidth="1"/>
  </cols>
  <sheetData>
    <row r="1" spans="2:14" s="144" customFormat="1" ht="43.5" customHeight="1">
      <c r="B1" s="419" t="s">
        <v>124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2:14" s="144" customFormat="1" ht="29.25" customHeight="1">
      <c r="B2" s="425" t="s">
        <v>309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4" s="158" customFormat="1" ht="27" customHeight="1">
      <c r="A3" s="147" t="s">
        <v>88</v>
      </c>
      <c r="B3" s="148" t="s">
        <v>89</v>
      </c>
      <c r="C3" s="148" t="s">
        <v>90</v>
      </c>
      <c r="D3" s="148" t="s">
        <v>91</v>
      </c>
      <c r="E3" s="148" t="s">
        <v>92</v>
      </c>
      <c r="F3" s="149" t="s">
        <v>93</v>
      </c>
      <c r="G3" s="150" t="s">
        <v>94</v>
      </c>
      <c r="H3" s="151" t="s">
        <v>95</v>
      </c>
      <c r="I3" s="152"/>
      <c r="J3" s="153" t="s">
        <v>93</v>
      </c>
      <c r="K3" s="154"/>
      <c r="L3" s="155"/>
      <c r="M3" s="156" t="s">
        <v>94</v>
      </c>
      <c r="N3" s="157" t="s">
        <v>96</v>
      </c>
    </row>
    <row r="4" spans="1:14" s="169" customFormat="1" ht="18" customHeight="1">
      <c r="A4" s="278" t="s">
        <v>32</v>
      </c>
      <c r="B4" s="317">
        <v>12.8</v>
      </c>
      <c r="C4" s="160">
        <v>36</v>
      </c>
      <c r="D4" s="161">
        <v>33</v>
      </c>
      <c r="E4" s="162"/>
      <c r="F4" s="160">
        <v>1</v>
      </c>
      <c r="G4" s="160">
        <v>10</v>
      </c>
      <c r="H4" s="163">
        <f aca="true" t="shared" si="0" ref="H4:H10">N4+I4</f>
        <v>1550000</v>
      </c>
      <c r="I4" s="164">
        <f aca="true" t="shared" si="1" ref="I4:I11">IF(E4&gt;0,$N$13,0)+IF(C4&gt;0,50000,0)+IF(C12&lt;0,50000,0)</f>
        <v>50000</v>
      </c>
      <c r="J4" s="165" t="s">
        <v>97</v>
      </c>
      <c r="K4" s="166"/>
      <c r="L4" s="167"/>
      <c r="M4" s="168">
        <v>10</v>
      </c>
      <c r="N4" s="163">
        <f>N12*25%</f>
        <v>1500000</v>
      </c>
    </row>
    <row r="5" spans="1:14" s="169" customFormat="1" ht="18" customHeight="1">
      <c r="A5" s="261" t="s">
        <v>26</v>
      </c>
      <c r="B5" s="318">
        <v>14.4</v>
      </c>
      <c r="C5" s="160">
        <v>34</v>
      </c>
      <c r="D5" s="161">
        <v>33</v>
      </c>
      <c r="E5" s="162"/>
      <c r="F5" s="160">
        <v>2</v>
      </c>
      <c r="G5" s="160">
        <v>8</v>
      </c>
      <c r="H5" s="163">
        <f t="shared" si="0"/>
        <v>1250000</v>
      </c>
      <c r="I5" s="164">
        <f t="shared" si="1"/>
        <v>50000</v>
      </c>
      <c r="J5" s="170" t="s">
        <v>98</v>
      </c>
      <c r="K5" s="171"/>
      <c r="L5" s="172"/>
      <c r="M5" s="173">
        <v>8</v>
      </c>
      <c r="N5" s="163">
        <f>N12*20%</f>
        <v>1200000</v>
      </c>
    </row>
    <row r="6" spans="1:14" s="169" customFormat="1" ht="18" customHeight="1">
      <c r="A6" s="261" t="s">
        <v>36</v>
      </c>
      <c r="B6" s="318">
        <v>15.1</v>
      </c>
      <c r="C6" s="160">
        <v>33</v>
      </c>
      <c r="D6" s="161">
        <v>34</v>
      </c>
      <c r="E6" s="162"/>
      <c r="F6" s="64">
        <v>3</v>
      </c>
      <c r="G6" s="64">
        <v>6</v>
      </c>
      <c r="H6" s="163">
        <f t="shared" si="0"/>
        <v>950000</v>
      </c>
      <c r="I6" s="164">
        <f t="shared" si="1"/>
        <v>50000</v>
      </c>
      <c r="J6" s="170" t="s">
        <v>99</v>
      </c>
      <c r="K6" s="171"/>
      <c r="L6" s="172"/>
      <c r="M6" s="173">
        <v>6</v>
      </c>
      <c r="N6" s="163">
        <f>N12*15%</f>
        <v>900000</v>
      </c>
    </row>
    <row r="7" spans="1:16" s="169" customFormat="1" ht="18" customHeight="1">
      <c r="A7" s="261" t="s">
        <v>30</v>
      </c>
      <c r="B7" s="318">
        <v>10.8</v>
      </c>
      <c r="C7" s="160">
        <v>32</v>
      </c>
      <c r="D7" s="181">
        <v>33</v>
      </c>
      <c r="E7" s="162"/>
      <c r="F7" s="160">
        <v>4</v>
      </c>
      <c r="G7" s="160">
        <v>5</v>
      </c>
      <c r="H7" s="163">
        <f t="shared" si="0"/>
        <v>770000</v>
      </c>
      <c r="I7" s="164">
        <f t="shared" si="1"/>
        <v>50000</v>
      </c>
      <c r="J7" s="170" t="s">
        <v>100</v>
      </c>
      <c r="K7" s="171"/>
      <c r="L7" s="172"/>
      <c r="M7" s="173">
        <v>5</v>
      </c>
      <c r="N7" s="163">
        <f>N12*12%</f>
        <v>720000</v>
      </c>
      <c r="O7" s="175"/>
      <c r="P7" s="175"/>
    </row>
    <row r="8" spans="1:14" s="169" customFormat="1" ht="18" customHeight="1">
      <c r="A8" s="261" t="s">
        <v>50</v>
      </c>
      <c r="B8" s="318">
        <v>7.5</v>
      </c>
      <c r="C8" s="161">
        <v>31</v>
      </c>
      <c r="D8" s="161">
        <v>34</v>
      </c>
      <c r="E8" s="162"/>
      <c r="F8" s="160">
        <v>5</v>
      </c>
      <c r="G8" s="160">
        <v>4</v>
      </c>
      <c r="H8" s="163">
        <f t="shared" si="0"/>
        <v>650000</v>
      </c>
      <c r="I8" s="164">
        <f t="shared" si="1"/>
        <v>50000</v>
      </c>
      <c r="J8" s="170" t="s">
        <v>101</v>
      </c>
      <c r="K8" s="171"/>
      <c r="L8" s="172"/>
      <c r="M8" s="173">
        <v>4</v>
      </c>
      <c r="N8" s="163">
        <f>N12*10%</f>
        <v>600000</v>
      </c>
    </row>
    <row r="9" spans="1:14" s="169" customFormat="1" ht="18" customHeight="1">
      <c r="A9" s="261" t="s">
        <v>44</v>
      </c>
      <c r="B9" s="318" t="s">
        <v>301</v>
      </c>
      <c r="C9" s="160">
        <v>30</v>
      </c>
      <c r="D9" s="181">
        <v>34</v>
      </c>
      <c r="E9" s="177"/>
      <c r="F9" s="178">
        <v>6</v>
      </c>
      <c r="G9" s="178">
        <v>3</v>
      </c>
      <c r="H9" s="163">
        <f t="shared" si="0"/>
        <v>530000</v>
      </c>
      <c r="I9" s="164">
        <f t="shared" si="1"/>
        <v>50000</v>
      </c>
      <c r="J9" s="170" t="s">
        <v>102</v>
      </c>
      <c r="K9" s="171"/>
      <c r="L9" s="172"/>
      <c r="M9" s="173">
        <v>3</v>
      </c>
      <c r="N9" s="163">
        <f>N12*8%</f>
        <v>480000</v>
      </c>
    </row>
    <row r="10" spans="1:14" s="169" customFormat="1" ht="18" customHeight="1">
      <c r="A10" s="261" t="s">
        <v>54</v>
      </c>
      <c r="B10" s="318">
        <v>25.1</v>
      </c>
      <c r="C10" s="161">
        <v>23</v>
      </c>
      <c r="D10" s="181">
        <v>42</v>
      </c>
      <c r="E10" s="177"/>
      <c r="F10" s="160">
        <v>7</v>
      </c>
      <c r="G10" s="160">
        <v>2</v>
      </c>
      <c r="H10" s="163">
        <f t="shared" si="0"/>
        <v>410000</v>
      </c>
      <c r="I10" s="164">
        <f t="shared" si="1"/>
        <v>50000</v>
      </c>
      <c r="J10" s="170" t="s">
        <v>103</v>
      </c>
      <c r="K10" s="171"/>
      <c r="L10" s="172"/>
      <c r="M10" s="173">
        <v>2</v>
      </c>
      <c r="N10" s="163">
        <f>N12*6%</f>
        <v>360000</v>
      </c>
    </row>
    <row r="11" spans="1:14" s="169" customFormat="1" ht="18" customHeight="1">
      <c r="A11" s="261"/>
      <c r="B11" s="318"/>
      <c r="C11" s="64"/>
      <c r="D11" s="161"/>
      <c r="E11" s="162"/>
      <c r="F11" s="160"/>
      <c r="G11" s="160"/>
      <c r="H11" s="163">
        <v>0</v>
      </c>
      <c r="I11" s="164">
        <f t="shared" si="1"/>
        <v>0</v>
      </c>
      <c r="J11" s="170" t="s">
        <v>104</v>
      </c>
      <c r="K11" s="171"/>
      <c r="L11" s="172"/>
      <c r="M11" s="173">
        <v>1</v>
      </c>
      <c r="N11" s="163">
        <f>N12*4%</f>
        <v>240000</v>
      </c>
    </row>
    <row r="12" spans="1:14" s="169" customFormat="1" ht="18" customHeight="1">
      <c r="A12" s="261"/>
      <c r="B12" s="318"/>
      <c r="C12" s="161"/>
      <c r="D12" s="161"/>
      <c r="E12" s="162"/>
      <c r="F12" s="160"/>
      <c r="G12" s="160"/>
      <c r="H12" s="163">
        <f aca="true" t="shared" si="2" ref="H12:H27">I12</f>
        <v>0</v>
      </c>
      <c r="I12" s="164">
        <f aca="true" t="shared" si="3" ref="I12:I27">IF(E12&gt;0,$N$13,0)+IF(C12&gt;0,50000,0)+IF(C12&lt;0,50000,0)</f>
        <v>0</v>
      </c>
      <c r="J12" s="179" t="s">
        <v>105</v>
      </c>
      <c r="K12" s="171"/>
      <c r="L12" s="172"/>
      <c r="M12" s="173"/>
      <c r="N12" s="180">
        <v>6000000</v>
      </c>
    </row>
    <row r="13" spans="1:14" s="169" customFormat="1" ht="18" customHeight="1">
      <c r="A13" s="261"/>
      <c r="B13" s="318"/>
      <c r="C13" s="160"/>
      <c r="D13" s="161"/>
      <c r="E13" s="162"/>
      <c r="F13" s="160"/>
      <c r="G13" s="160"/>
      <c r="H13" s="163">
        <f t="shared" si="2"/>
        <v>0</v>
      </c>
      <c r="I13" s="164">
        <f t="shared" si="3"/>
        <v>0</v>
      </c>
      <c r="J13" s="182" t="s">
        <v>106</v>
      </c>
      <c r="K13" s="183"/>
      <c r="L13" s="184"/>
      <c r="M13" s="185">
        <v>1</v>
      </c>
      <c r="N13" s="186">
        <f>N10</f>
        <v>360000</v>
      </c>
    </row>
    <row r="14" spans="1:14" s="169" customFormat="1" ht="18" customHeight="1">
      <c r="A14" s="261"/>
      <c r="B14" s="318"/>
      <c r="C14" s="160"/>
      <c r="D14" s="161"/>
      <c r="E14" s="177"/>
      <c r="F14" s="160"/>
      <c r="G14" s="160"/>
      <c r="H14" s="163">
        <f t="shared" si="2"/>
        <v>0</v>
      </c>
      <c r="I14" s="164">
        <f t="shared" si="3"/>
        <v>0</v>
      </c>
      <c r="J14" s="187"/>
      <c r="K14" s="183"/>
      <c r="L14" s="183"/>
      <c r="M14" s="188"/>
      <c r="N14" s="189"/>
    </row>
    <row r="15" spans="1:14" s="169" customFormat="1" ht="18" customHeight="1">
      <c r="A15" s="261"/>
      <c r="B15" s="318"/>
      <c r="C15" s="64"/>
      <c r="D15" s="181"/>
      <c r="E15" s="177"/>
      <c r="F15" s="160"/>
      <c r="G15" s="160"/>
      <c r="H15" s="163">
        <f t="shared" si="2"/>
        <v>0</v>
      </c>
      <c r="I15" s="164">
        <f t="shared" si="3"/>
        <v>0</v>
      </c>
      <c r="J15" s="190"/>
      <c r="K15" s="191"/>
      <c r="L15" s="191"/>
      <c r="M15" s="192"/>
      <c r="N15" s="193"/>
    </row>
    <row r="16" spans="1:9" s="169" customFormat="1" ht="18" customHeight="1">
      <c r="A16" s="261"/>
      <c r="B16" s="318"/>
      <c r="C16" s="160"/>
      <c r="D16" s="161"/>
      <c r="E16" s="162"/>
      <c r="F16" s="64"/>
      <c r="G16" s="64"/>
      <c r="H16" s="163">
        <f t="shared" si="2"/>
        <v>0</v>
      </c>
      <c r="I16" s="164">
        <f t="shared" si="3"/>
        <v>0</v>
      </c>
    </row>
    <row r="17" spans="1:13" s="169" customFormat="1" ht="18" customHeight="1">
      <c r="A17" s="261"/>
      <c r="B17" s="318"/>
      <c r="C17" s="160"/>
      <c r="D17" s="181"/>
      <c r="E17" s="162"/>
      <c r="F17" s="64"/>
      <c r="G17" s="64"/>
      <c r="H17" s="163">
        <f t="shared" si="2"/>
        <v>0</v>
      </c>
      <c r="I17" s="164">
        <f t="shared" si="3"/>
        <v>0</v>
      </c>
      <c r="J17" s="175"/>
      <c r="K17" s="175"/>
      <c r="L17" s="175"/>
      <c r="M17" s="176"/>
    </row>
    <row r="18" spans="1:14" s="169" customFormat="1" ht="18" customHeight="1">
      <c r="A18" s="261"/>
      <c r="B18" s="318"/>
      <c r="C18" s="160"/>
      <c r="D18" s="161"/>
      <c r="E18" s="177"/>
      <c r="F18" s="160"/>
      <c r="G18" s="160"/>
      <c r="H18" s="163">
        <f t="shared" si="2"/>
        <v>0</v>
      </c>
      <c r="I18" s="164">
        <f t="shared" si="3"/>
        <v>0</v>
      </c>
      <c r="J18" s="192"/>
      <c r="K18" s="192"/>
      <c r="L18" s="192"/>
      <c r="M18" s="192"/>
      <c r="N18" s="192"/>
    </row>
    <row r="19" spans="1:14" s="169" customFormat="1" ht="18" customHeight="1">
      <c r="A19" s="261"/>
      <c r="B19" s="318"/>
      <c r="C19" s="160"/>
      <c r="D19" s="181"/>
      <c r="E19" s="177"/>
      <c r="F19" s="160"/>
      <c r="G19" s="160"/>
      <c r="H19" s="163">
        <f t="shared" si="2"/>
        <v>0</v>
      </c>
      <c r="I19" s="164">
        <f t="shared" si="3"/>
        <v>0</v>
      </c>
      <c r="J19" s="192"/>
      <c r="K19" s="192"/>
      <c r="L19" s="192"/>
      <c r="M19" s="193"/>
      <c r="N19" s="193"/>
    </row>
    <row r="20" spans="1:14" s="144" customFormat="1" ht="18" customHeight="1">
      <c r="A20" s="261"/>
      <c r="B20" s="318"/>
      <c r="C20" s="181"/>
      <c r="D20" s="161"/>
      <c r="E20" s="162"/>
      <c r="F20" s="64"/>
      <c r="G20" s="64"/>
      <c r="H20" s="163">
        <f t="shared" si="2"/>
        <v>0</v>
      </c>
      <c r="I20" s="164">
        <f t="shared" si="3"/>
        <v>0</v>
      </c>
      <c r="J20" s="192"/>
      <c r="K20" s="192"/>
      <c r="L20" s="192"/>
      <c r="M20" s="193"/>
      <c r="N20" s="193"/>
    </row>
    <row r="21" spans="1:14" s="144" customFormat="1" ht="18" customHeight="1">
      <c r="A21" s="261"/>
      <c r="B21" s="318"/>
      <c r="C21" s="161"/>
      <c r="D21" s="161"/>
      <c r="E21" s="177"/>
      <c r="F21" s="64"/>
      <c r="G21" s="64"/>
      <c r="H21" s="163">
        <f t="shared" si="2"/>
        <v>0</v>
      </c>
      <c r="I21" s="164">
        <f t="shared" si="3"/>
        <v>0</v>
      </c>
      <c r="J21" s="192"/>
      <c r="K21" s="192"/>
      <c r="L21" s="192"/>
      <c r="M21" s="193"/>
      <c r="N21" s="193"/>
    </row>
    <row r="22" spans="1:14" s="144" customFormat="1" ht="18" customHeight="1">
      <c r="A22" s="261"/>
      <c r="B22" s="318"/>
      <c r="C22" s="160"/>
      <c r="D22" s="181"/>
      <c r="E22" s="162"/>
      <c r="F22" s="64"/>
      <c r="G22" s="64"/>
      <c r="H22" s="163">
        <f t="shared" si="2"/>
        <v>0</v>
      </c>
      <c r="I22" s="164">
        <f t="shared" si="3"/>
        <v>0</v>
      </c>
      <c r="J22" s="192"/>
      <c r="K22" s="192"/>
      <c r="L22" s="192"/>
      <c r="M22" s="193"/>
      <c r="N22" s="193"/>
    </row>
    <row r="23" spans="1:14" s="144" customFormat="1" ht="18" customHeight="1">
      <c r="A23" s="261"/>
      <c r="B23" s="318"/>
      <c r="C23" s="161"/>
      <c r="D23" s="181"/>
      <c r="E23" s="162"/>
      <c r="F23" s="64"/>
      <c r="G23" s="64"/>
      <c r="H23" s="163">
        <f t="shared" si="2"/>
        <v>0</v>
      </c>
      <c r="I23" s="164">
        <f t="shared" si="3"/>
        <v>0</v>
      </c>
      <c r="J23" s="366"/>
      <c r="K23" s="366"/>
      <c r="L23" s="367"/>
      <c r="M23" s="368"/>
      <c r="N23" s="368"/>
    </row>
    <row r="24" spans="1:14" s="144" customFormat="1" ht="18" customHeight="1">
      <c r="A24" s="261"/>
      <c r="B24" s="318"/>
      <c r="C24" s="160"/>
      <c r="D24" s="161"/>
      <c r="E24" s="162"/>
      <c r="F24" s="64"/>
      <c r="G24" s="64"/>
      <c r="H24" s="163">
        <f t="shared" si="2"/>
        <v>0</v>
      </c>
      <c r="I24" s="164">
        <f t="shared" si="3"/>
        <v>0</v>
      </c>
      <c r="J24" s="366"/>
      <c r="K24" s="366"/>
      <c r="L24" s="367"/>
      <c r="M24" s="368"/>
      <c r="N24" s="368"/>
    </row>
    <row r="25" spans="1:14" s="144" customFormat="1" ht="18" customHeight="1">
      <c r="A25" s="261"/>
      <c r="B25" s="318"/>
      <c r="C25" s="161"/>
      <c r="D25" s="161"/>
      <c r="E25" s="162"/>
      <c r="F25" s="64"/>
      <c r="G25" s="64"/>
      <c r="H25" s="163">
        <f t="shared" si="2"/>
        <v>0</v>
      </c>
      <c r="I25" s="164">
        <f t="shared" si="3"/>
        <v>0</v>
      </c>
      <c r="J25" s="192"/>
      <c r="K25" s="192"/>
      <c r="L25" s="192"/>
      <c r="M25" s="193"/>
      <c r="N25" s="193"/>
    </row>
    <row r="26" spans="1:14" s="144" customFormat="1" ht="18" customHeight="1">
      <c r="A26" s="261"/>
      <c r="B26" s="318"/>
      <c r="C26" s="160"/>
      <c r="D26" s="161"/>
      <c r="E26" s="177"/>
      <c r="F26" s="160"/>
      <c r="G26" s="160"/>
      <c r="H26" s="163">
        <f t="shared" si="2"/>
        <v>0</v>
      </c>
      <c r="I26" s="164">
        <f t="shared" si="3"/>
        <v>0</v>
      </c>
      <c r="J26" s="192"/>
      <c r="K26" s="192"/>
      <c r="L26" s="192"/>
      <c r="M26" s="193"/>
      <c r="N26" s="193"/>
    </row>
    <row r="27" spans="1:14" s="144" customFormat="1" ht="18" customHeight="1">
      <c r="A27" s="174"/>
      <c r="B27" s="195"/>
      <c r="C27" s="160"/>
      <c r="D27" s="161"/>
      <c r="E27" s="162"/>
      <c r="F27" s="160"/>
      <c r="G27" s="160"/>
      <c r="H27" s="163">
        <f t="shared" si="2"/>
        <v>0</v>
      </c>
      <c r="I27" s="164">
        <f t="shared" si="3"/>
        <v>0</v>
      </c>
      <c r="J27" s="192"/>
      <c r="K27" s="192"/>
      <c r="L27" s="192"/>
      <c r="M27" s="193"/>
      <c r="N27" s="193"/>
    </row>
    <row r="28" spans="1:9" ht="24" customHeight="1">
      <c r="A28" s="1"/>
      <c r="B28" s="3"/>
      <c r="C28" s="196"/>
      <c r="D28" s="197">
        <f>SUM(D4:D27)</f>
        <v>243</v>
      </c>
      <c r="E28" s="196"/>
      <c r="F28" s="3"/>
      <c r="G28" s="198">
        <f>SUM(G4:G27)</f>
        <v>38</v>
      </c>
      <c r="H28" s="198">
        <f>SUM(H4:H27)</f>
        <v>6110000</v>
      </c>
      <c r="I28" s="19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8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workbookViewId="0" topLeftCell="A1">
      <selection activeCell="A1" sqref="A1:N28"/>
    </sheetView>
  </sheetViews>
  <sheetFormatPr defaultColWidth="9.140625" defaultRowHeight="12.75"/>
  <cols>
    <col min="1" max="1" width="25.140625" style="141" customWidth="1"/>
    <col min="2" max="2" width="7.8515625" style="142" customWidth="1"/>
    <col min="3" max="3" width="8.421875" style="143" customWidth="1"/>
    <col min="4" max="4" width="6.8515625" style="142" customWidth="1"/>
    <col min="5" max="5" width="8.140625" style="142" customWidth="1"/>
    <col min="6" max="6" width="10.140625" style="142" customWidth="1"/>
    <col min="7" max="7" width="9.140625" style="142" customWidth="1"/>
    <col min="8" max="8" width="13.421875" style="142" customWidth="1"/>
    <col min="9" max="9" width="4.8515625" style="11" customWidth="1"/>
    <col min="10" max="10" width="8.421875" style="11" customWidth="1"/>
    <col min="11" max="11" width="7.00390625" style="11" customWidth="1"/>
    <col min="12" max="12" width="7.8515625" style="11" customWidth="1"/>
    <col min="13" max="13" width="7.421875" style="11" customWidth="1"/>
    <col min="14" max="14" width="12.421875" style="11" customWidth="1"/>
    <col min="15" max="15" width="7.421875" style="11" customWidth="1"/>
    <col min="16" max="16384" width="9.140625" style="11" customWidth="1"/>
  </cols>
  <sheetData>
    <row r="1" spans="2:14" s="144" customFormat="1" ht="43.5" customHeight="1">
      <c r="B1" s="419" t="s">
        <v>126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2:14" s="144" customFormat="1" ht="29.25" customHeight="1">
      <c r="B2" s="425" t="s">
        <v>299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4" s="158" customFormat="1" ht="27" customHeight="1">
      <c r="A3" s="147" t="s">
        <v>88</v>
      </c>
      <c r="B3" s="148" t="s">
        <v>89</v>
      </c>
      <c r="C3" s="148" t="s">
        <v>90</v>
      </c>
      <c r="D3" s="148" t="s">
        <v>91</v>
      </c>
      <c r="E3" s="148" t="s">
        <v>92</v>
      </c>
      <c r="F3" s="149" t="s">
        <v>93</v>
      </c>
      <c r="G3" s="150" t="s">
        <v>94</v>
      </c>
      <c r="H3" s="151" t="s">
        <v>95</v>
      </c>
      <c r="I3" s="152"/>
      <c r="J3" s="153" t="s">
        <v>93</v>
      </c>
      <c r="K3" s="154"/>
      <c r="L3" s="155"/>
      <c r="M3" s="156" t="s">
        <v>94</v>
      </c>
      <c r="N3" s="157" t="s">
        <v>96</v>
      </c>
    </row>
    <row r="4" spans="1:14" s="169" customFormat="1" ht="18" customHeight="1">
      <c r="A4" s="353" t="s">
        <v>30</v>
      </c>
      <c r="B4" s="354">
        <v>10.8</v>
      </c>
      <c r="C4" s="160">
        <v>36</v>
      </c>
      <c r="D4" s="181">
        <v>31</v>
      </c>
      <c r="E4" s="162"/>
      <c r="F4" s="160">
        <v>1</v>
      </c>
      <c r="G4" s="160">
        <v>10</v>
      </c>
      <c r="H4" s="163">
        <f aca="true" t="shared" si="0" ref="H4:H11">N4+I4</f>
        <v>2050000</v>
      </c>
      <c r="I4" s="164">
        <f aca="true" t="shared" si="1" ref="I4:I11">IF(E4&gt;0,$N$13,0)+IF(C4&gt;0,50000,0)+IF(C12&lt;0,50000,0)</f>
        <v>50000</v>
      </c>
      <c r="J4" s="165" t="s">
        <v>97</v>
      </c>
      <c r="K4" s="166"/>
      <c r="L4" s="167"/>
      <c r="M4" s="168">
        <v>10</v>
      </c>
      <c r="N4" s="163">
        <f>N12*25%</f>
        <v>2000000</v>
      </c>
    </row>
    <row r="5" spans="1:14" s="169" customFormat="1" ht="18" customHeight="1">
      <c r="A5" s="355" t="s">
        <v>36</v>
      </c>
      <c r="B5" s="356">
        <v>15.1</v>
      </c>
      <c r="C5" s="160">
        <v>36</v>
      </c>
      <c r="D5" s="161">
        <v>31</v>
      </c>
      <c r="E5" s="162"/>
      <c r="F5" s="160">
        <v>2</v>
      </c>
      <c r="G5" s="160">
        <v>8</v>
      </c>
      <c r="H5" s="163">
        <f t="shared" si="0"/>
        <v>1650000</v>
      </c>
      <c r="I5" s="164">
        <f t="shared" si="1"/>
        <v>50000</v>
      </c>
      <c r="J5" s="170" t="s">
        <v>98</v>
      </c>
      <c r="K5" s="171"/>
      <c r="L5" s="172"/>
      <c r="M5" s="173">
        <v>8</v>
      </c>
      <c r="N5" s="163">
        <f>N12*20%</f>
        <v>1600000</v>
      </c>
    </row>
    <row r="6" spans="1:14" s="169" customFormat="1" ht="18" customHeight="1">
      <c r="A6" s="355" t="s">
        <v>10</v>
      </c>
      <c r="B6" s="356">
        <v>22.9</v>
      </c>
      <c r="C6" s="160">
        <v>36</v>
      </c>
      <c r="D6" s="161">
        <v>33</v>
      </c>
      <c r="E6" s="162"/>
      <c r="F6" s="64">
        <v>3</v>
      </c>
      <c r="G6" s="64">
        <v>6</v>
      </c>
      <c r="H6" s="163">
        <f t="shared" si="0"/>
        <v>1250000</v>
      </c>
      <c r="I6" s="164">
        <f t="shared" si="1"/>
        <v>50000</v>
      </c>
      <c r="J6" s="170" t="s">
        <v>99</v>
      </c>
      <c r="K6" s="171"/>
      <c r="L6" s="172"/>
      <c r="M6" s="173">
        <v>6</v>
      </c>
      <c r="N6" s="163">
        <f>N12*15%</f>
        <v>1200000</v>
      </c>
    </row>
    <row r="7" spans="1:18" s="169" customFormat="1" ht="18" customHeight="1">
      <c r="A7" s="355" t="s">
        <v>26</v>
      </c>
      <c r="B7" s="356">
        <v>14.3</v>
      </c>
      <c r="C7" s="161">
        <v>32</v>
      </c>
      <c r="D7" s="161">
        <v>29</v>
      </c>
      <c r="E7" s="162"/>
      <c r="F7" s="160">
        <v>4</v>
      </c>
      <c r="G7" s="160">
        <v>5</v>
      </c>
      <c r="H7" s="163">
        <f t="shared" si="0"/>
        <v>1010000</v>
      </c>
      <c r="I7" s="164">
        <f t="shared" si="1"/>
        <v>50000</v>
      </c>
      <c r="J7" s="170" t="s">
        <v>100</v>
      </c>
      <c r="K7" s="171"/>
      <c r="L7" s="172"/>
      <c r="M7" s="173">
        <v>5</v>
      </c>
      <c r="N7" s="163">
        <f>N12*12%</f>
        <v>960000</v>
      </c>
      <c r="O7" s="175"/>
      <c r="P7" s="175"/>
      <c r="Q7" s="175"/>
      <c r="R7" s="176"/>
    </row>
    <row r="8" spans="1:14" s="169" customFormat="1" ht="18" customHeight="1">
      <c r="A8" s="355" t="s">
        <v>38</v>
      </c>
      <c r="B8" s="356">
        <v>22.5</v>
      </c>
      <c r="C8" s="160">
        <v>32</v>
      </c>
      <c r="D8" s="161">
        <v>33</v>
      </c>
      <c r="E8" s="162"/>
      <c r="F8" s="160">
        <v>5</v>
      </c>
      <c r="G8" s="160">
        <v>4</v>
      </c>
      <c r="H8" s="163">
        <f t="shared" si="0"/>
        <v>850000</v>
      </c>
      <c r="I8" s="164">
        <f t="shared" si="1"/>
        <v>50000</v>
      </c>
      <c r="J8" s="170" t="s">
        <v>101</v>
      </c>
      <c r="K8" s="171"/>
      <c r="L8" s="172"/>
      <c r="M8" s="173">
        <v>4</v>
      </c>
      <c r="N8" s="163">
        <f>N12*10%</f>
        <v>800000</v>
      </c>
    </row>
    <row r="9" spans="1:14" s="169" customFormat="1" ht="18" customHeight="1">
      <c r="A9" s="355" t="s">
        <v>44</v>
      </c>
      <c r="B9" s="356">
        <v>18.1</v>
      </c>
      <c r="C9" s="160">
        <v>31</v>
      </c>
      <c r="D9" s="181">
        <v>34</v>
      </c>
      <c r="E9" s="162"/>
      <c r="F9" s="178">
        <v>6</v>
      </c>
      <c r="G9" s="178">
        <v>3</v>
      </c>
      <c r="H9" s="163">
        <f t="shared" si="0"/>
        <v>690000</v>
      </c>
      <c r="I9" s="164">
        <f t="shared" si="1"/>
        <v>50000</v>
      </c>
      <c r="J9" s="170" t="s">
        <v>102</v>
      </c>
      <c r="K9" s="171"/>
      <c r="L9" s="172"/>
      <c r="M9" s="173">
        <v>3</v>
      </c>
      <c r="N9" s="163">
        <f>N12*8%</f>
        <v>640000</v>
      </c>
    </row>
    <row r="10" spans="1:14" s="169" customFormat="1" ht="18" customHeight="1">
      <c r="A10" s="355" t="s">
        <v>32</v>
      </c>
      <c r="B10" s="356">
        <v>12.7</v>
      </c>
      <c r="C10" s="161">
        <v>30</v>
      </c>
      <c r="D10" s="161">
        <v>33</v>
      </c>
      <c r="E10" s="162"/>
      <c r="F10" s="160">
        <v>7</v>
      </c>
      <c r="G10" s="160">
        <v>2</v>
      </c>
      <c r="H10" s="163">
        <f t="shared" si="0"/>
        <v>530000</v>
      </c>
      <c r="I10" s="164">
        <f t="shared" si="1"/>
        <v>50000</v>
      </c>
      <c r="J10" s="170" t="s">
        <v>103</v>
      </c>
      <c r="K10" s="171"/>
      <c r="L10" s="172"/>
      <c r="M10" s="173">
        <v>2</v>
      </c>
      <c r="N10" s="163">
        <f>N12*6%</f>
        <v>480000</v>
      </c>
    </row>
    <row r="11" spans="1:14" s="169" customFormat="1" ht="18" customHeight="1">
      <c r="A11" s="355" t="s">
        <v>20</v>
      </c>
      <c r="B11" s="356">
        <v>14.5</v>
      </c>
      <c r="C11" s="160">
        <v>30</v>
      </c>
      <c r="D11" s="161">
        <v>31</v>
      </c>
      <c r="E11" s="177"/>
      <c r="F11" s="160">
        <v>8</v>
      </c>
      <c r="G11" s="160">
        <v>1</v>
      </c>
      <c r="H11" s="163">
        <f t="shared" si="0"/>
        <v>370000</v>
      </c>
      <c r="I11" s="164">
        <f t="shared" si="1"/>
        <v>50000</v>
      </c>
      <c r="J11" s="170" t="s">
        <v>104</v>
      </c>
      <c r="K11" s="171"/>
      <c r="L11" s="172"/>
      <c r="M11" s="173">
        <v>1</v>
      </c>
      <c r="N11" s="163">
        <f>N12*4%</f>
        <v>320000</v>
      </c>
    </row>
    <row r="12" spans="1:14" s="169" customFormat="1" ht="18" customHeight="1">
      <c r="A12" s="355" t="s">
        <v>54</v>
      </c>
      <c r="B12" s="356">
        <v>25</v>
      </c>
      <c r="C12" s="64">
        <v>26</v>
      </c>
      <c r="D12" s="161">
        <v>38</v>
      </c>
      <c r="E12" s="162">
        <v>14.45</v>
      </c>
      <c r="F12" s="160"/>
      <c r="G12" s="160"/>
      <c r="H12" s="163">
        <f aca="true" t="shared" si="2" ref="H12:H27">I12</f>
        <v>530000</v>
      </c>
      <c r="I12" s="164">
        <f aca="true" t="shared" si="3" ref="I12:I27">IF(E12&gt;0,$N$13,0)+IF(C12&gt;0,50000,0)+IF(C12&lt;0,50000,0)</f>
        <v>530000</v>
      </c>
      <c r="J12" s="179" t="s">
        <v>105</v>
      </c>
      <c r="K12" s="171"/>
      <c r="L12" s="172"/>
      <c r="M12" s="173"/>
      <c r="N12" s="180">
        <v>8000000</v>
      </c>
    </row>
    <row r="13" spans="1:14" s="169" customFormat="1" ht="18" customHeight="1">
      <c r="A13" s="355"/>
      <c r="B13" s="356"/>
      <c r="C13" s="160"/>
      <c r="D13" s="161"/>
      <c r="E13" s="177"/>
      <c r="F13" s="160"/>
      <c r="G13" s="160"/>
      <c r="H13" s="163">
        <f t="shared" si="2"/>
        <v>0</v>
      </c>
      <c r="I13" s="164">
        <f t="shared" si="3"/>
        <v>0</v>
      </c>
      <c r="J13" s="182" t="s">
        <v>106</v>
      </c>
      <c r="K13" s="183"/>
      <c r="L13" s="184"/>
      <c r="M13" s="185">
        <v>1</v>
      </c>
      <c r="N13" s="186">
        <f>N10</f>
        <v>480000</v>
      </c>
    </row>
    <row r="14" spans="1:14" s="169" customFormat="1" ht="18" customHeight="1">
      <c r="A14" s="355"/>
      <c r="B14" s="356"/>
      <c r="C14" s="160"/>
      <c r="D14" s="161"/>
      <c r="E14" s="177"/>
      <c r="F14" s="160"/>
      <c r="G14" s="160"/>
      <c r="H14" s="163">
        <f t="shared" si="2"/>
        <v>0</v>
      </c>
      <c r="I14" s="164">
        <f t="shared" si="3"/>
        <v>0</v>
      </c>
      <c r="J14" s="187"/>
      <c r="K14" s="183"/>
      <c r="L14" s="183"/>
      <c r="M14" s="188"/>
      <c r="N14" s="189"/>
    </row>
    <row r="15" spans="1:14" s="169" customFormat="1" ht="18" customHeight="1">
      <c r="A15" s="355"/>
      <c r="B15" s="356"/>
      <c r="C15" s="160"/>
      <c r="D15" s="161"/>
      <c r="E15" s="177"/>
      <c r="F15" s="160"/>
      <c r="G15" s="160"/>
      <c r="H15" s="163">
        <f t="shared" si="2"/>
        <v>0</v>
      </c>
      <c r="I15" s="164">
        <f t="shared" si="3"/>
        <v>0</v>
      </c>
      <c r="J15" s="190"/>
      <c r="K15" s="191"/>
      <c r="L15" s="191"/>
      <c r="M15" s="192"/>
      <c r="N15" s="193"/>
    </row>
    <row r="16" spans="1:9" s="169" customFormat="1" ht="18" customHeight="1">
      <c r="A16" s="355"/>
      <c r="B16" s="356"/>
      <c r="C16" s="160"/>
      <c r="D16" s="161"/>
      <c r="E16" s="162"/>
      <c r="F16" s="64"/>
      <c r="G16" s="64"/>
      <c r="H16" s="163">
        <f t="shared" si="2"/>
        <v>0</v>
      </c>
      <c r="I16" s="164">
        <f t="shared" si="3"/>
        <v>0</v>
      </c>
    </row>
    <row r="17" spans="1:13" s="169" customFormat="1" ht="18" customHeight="1">
      <c r="A17" s="355"/>
      <c r="B17" s="356"/>
      <c r="C17" s="181"/>
      <c r="D17" s="161"/>
      <c r="E17" s="162"/>
      <c r="F17" s="64"/>
      <c r="G17" s="64"/>
      <c r="H17" s="163">
        <f t="shared" si="2"/>
        <v>0</v>
      </c>
      <c r="I17" s="164">
        <f t="shared" si="3"/>
        <v>0</v>
      </c>
      <c r="J17" s="175"/>
      <c r="K17" s="175"/>
      <c r="L17" s="175"/>
      <c r="M17" s="176"/>
    </row>
    <row r="18" spans="1:13" s="169" customFormat="1" ht="18" customHeight="1">
      <c r="A18" s="355"/>
      <c r="B18" s="356"/>
      <c r="C18" s="160"/>
      <c r="D18" s="181"/>
      <c r="E18" s="162"/>
      <c r="F18" s="160"/>
      <c r="G18" s="160"/>
      <c r="H18" s="163">
        <f t="shared" si="2"/>
        <v>0</v>
      </c>
      <c r="I18" s="164">
        <f t="shared" si="3"/>
        <v>0</v>
      </c>
      <c r="J18" s="176"/>
      <c r="K18" s="176"/>
      <c r="L18" s="176"/>
      <c r="M18" s="176"/>
    </row>
    <row r="19" spans="1:13" s="169" customFormat="1" ht="18" customHeight="1">
      <c r="A19" s="355"/>
      <c r="B19" s="356"/>
      <c r="C19" s="64"/>
      <c r="D19" s="181"/>
      <c r="E19" s="162"/>
      <c r="F19" s="160"/>
      <c r="G19" s="160"/>
      <c r="H19" s="163">
        <f t="shared" si="2"/>
        <v>0</v>
      </c>
      <c r="I19" s="164">
        <f t="shared" si="3"/>
        <v>0</v>
      </c>
      <c r="J19" s="176"/>
      <c r="K19" s="176"/>
      <c r="L19" s="176"/>
      <c r="M19" s="176"/>
    </row>
    <row r="20" spans="1:9" s="144" customFormat="1" ht="18" customHeight="1">
      <c r="A20" s="355"/>
      <c r="B20" s="356"/>
      <c r="C20" s="161"/>
      <c r="D20" s="161"/>
      <c r="E20" s="177"/>
      <c r="F20" s="64"/>
      <c r="G20" s="64"/>
      <c r="H20" s="163">
        <f t="shared" si="2"/>
        <v>0</v>
      </c>
      <c r="I20" s="164">
        <f t="shared" si="3"/>
        <v>0</v>
      </c>
    </row>
    <row r="21" spans="1:9" s="144" customFormat="1" ht="18" customHeight="1">
      <c r="A21" s="355"/>
      <c r="B21" s="356"/>
      <c r="C21" s="160"/>
      <c r="D21" s="161"/>
      <c r="E21" s="162"/>
      <c r="F21" s="64"/>
      <c r="G21" s="64"/>
      <c r="H21" s="163">
        <f t="shared" si="2"/>
        <v>0</v>
      </c>
      <c r="I21" s="164">
        <f t="shared" si="3"/>
        <v>0</v>
      </c>
    </row>
    <row r="22" spans="1:9" s="144" customFormat="1" ht="18" customHeight="1">
      <c r="A22" s="355"/>
      <c r="B22" s="356"/>
      <c r="C22" s="160"/>
      <c r="D22" s="161"/>
      <c r="E22" s="162"/>
      <c r="F22" s="64"/>
      <c r="G22" s="64"/>
      <c r="H22" s="163">
        <f t="shared" si="2"/>
        <v>0</v>
      </c>
      <c r="I22" s="164">
        <f t="shared" si="3"/>
        <v>0</v>
      </c>
    </row>
    <row r="23" spans="1:9" s="144" customFormat="1" ht="18" customHeight="1">
      <c r="A23" s="355"/>
      <c r="B23" s="356"/>
      <c r="C23" s="160"/>
      <c r="D23" s="181"/>
      <c r="E23" s="162"/>
      <c r="F23" s="64"/>
      <c r="G23" s="64"/>
      <c r="H23" s="163">
        <f t="shared" si="2"/>
        <v>0</v>
      </c>
      <c r="I23" s="164">
        <f t="shared" si="3"/>
        <v>0</v>
      </c>
    </row>
    <row r="24" spans="1:9" s="144" customFormat="1" ht="18" customHeight="1">
      <c r="A24" s="355"/>
      <c r="B24" s="356"/>
      <c r="C24" s="161"/>
      <c r="D24" s="181"/>
      <c r="E24" s="177"/>
      <c r="F24" s="64"/>
      <c r="G24" s="64"/>
      <c r="H24" s="163">
        <f t="shared" si="2"/>
        <v>0</v>
      </c>
      <c r="I24" s="164">
        <f t="shared" si="3"/>
        <v>0</v>
      </c>
    </row>
    <row r="25" spans="1:9" s="144" customFormat="1" ht="18" customHeight="1">
      <c r="A25" s="355"/>
      <c r="B25" s="356"/>
      <c r="C25" s="161"/>
      <c r="D25" s="161"/>
      <c r="E25" s="177"/>
      <c r="F25" s="64"/>
      <c r="G25" s="64"/>
      <c r="H25" s="163">
        <f t="shared" si="2"/>
        <v>0</v>
      </c>
      <c r="I25" s="164">
        <f t="shared" si="3"/>
        <v>0</v>
      </c>
    </row>
    <row r="26" spans="1:9" s="144" customFormat="1" ht="18" customHeight="1">
      <c r="A26" s="355"/>
      <c r="B26" s="356"/>
      <c r="C26" s="161"/>
      <c r="D26" s="181"/>
      <c r="E26" s="177"/>
      <c r="F26" s="160"/>
      <c r="G26" s="160"/>
      <c r="H26" s="163">
        <f t="shared" si="2"/>
        <v>0</v>
      </c>
      <c r="I26" s="164">
        <f t="shared" si="3"/>
        <v>0</v>
      </c>
    </row>
    <row r="27" spans="1:9" s="144" customFormat="1" ht="18" customHeight="1">
      <c r="A27" s="65"/>
      <c r="B27" s="66"/>
      <c r="C27" s="160"/>
      <c r="D27" s="181"/>
      <c r="E27" s="162"/>
      <c r="F27" s="160"/>
      <c r="G27" s="160"/>
      <c r="H27" s="163">
        <f t="shared" si="2"/>
        <v>0</v>
      </c>
      <c r="I27" s="164">
        <f t="shared" si="3"/>
        <v>0</v>
      </c>
    </row>
    <row r="28" spans="1:9" ht="24" customHeight="1">
      <c r="A28" s="1"/>
      <c r="B28" s="3"/>
      <c r="C28" s="196"/>
      <c r="D28" s="197">
        <f>SUM(D4:D27)</f>
        <v>293</v>
      </c>
      <c r="E28" s="196"/>
      <c r="F28" s="3"/>
      <c r="G28" s="198">
        <f>SUM(G4:G27)</f>
        <v>39</v>
      </c>
      <c r="H28" s="198">
        <f>SUM(H4:H27)</f>
        <v>8930000</v>
      </c>
      <c r="I28" s="19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8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zoomScale="150" zoomScaleNormal="150" workbookViewId="0" topLeftCell="A1">
      <selection activeCell="F4" sqref="F4:N11"/>
    </sheetView>
  </sheetViews>
  <sheetFormatPr defaultColWidth="9.140625" defaultRowHeight="12.75"/>
  <cols>
    <col min="1" max="1" width="25.140625" style="141" customWidth="1"/>
    <col min="2" max="2" width="7.8515625" style="142" customWidth="1"/>
    <col min="3" max="3" width="8.421875" style="143" customWidth="1"/>
    <col min="4" max="4" width="6.8515625" style="142" customWidth="1"/>
    <col min="5" max="5" width="8.140625" style="142" customWidth="1"/>
    <col min="6" max="6" width="10.140625" style="142" customWidth="1"/>
    <col min="7" max="7" width="9.140625" style="142" customWidth="1"/>
    <col min="8" max="8" width="13.421875" style="142" customWidth="1"/>
    <col min="9" max="9" width="4.8515625" style="11" customWidth="1"/>
    <col min="10" max="10" width="8.421875" style="11" customWidth="1"/>
    <col min="11" max="11" width="7.00390625" style="11" customWidth="1"/>
    <col min="12" max="12" width="7.8515625" style="11" customWidth="1"/>
    <col min="13" max="13" width="7.421875" style="11" customWidth="1"/>
    <col min="14" max="14" width="12.421875" style="11" customWidth="1"/>
    <col min="15" max="15" width="7.421875" style="11" customWidth="1"/>
    <col min="16" max="16384" width="9.140625" style="11" customWidth="1"/>
  </cols>
  <sheetData>
    <row r="1" spans="2:14" s="144" customFormat="1" ht="43.5" customHeight="1">
      <c r="B1" s="419" t="s">
        <v>127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2:14" s="144" customFormat="1" ht="29.25" customHeight="1">
      <c r="B2" s="425" t="s">
        <v>296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4" s="158" customFormat="1" ht="27" customHeight="1">
      <c r="A3" s="147" t="s">
        <v>88</v>
      </c>
      <c r="B3" s="148" t="s">
        <v>89</v>
      </c>
      <c r="C3" s="148" t="s">
        <v>90</v>
      </c>
      <c r="D3" s="148" t="s">
        <v>91</v>
      </c>
      <c r="E3" s="148" t="s">
        <v>92</v>
      </c>
      <c r="F3" s="149" t="s">
        <v>93</v>
      </c>
      <c r="G3" s="150" t="s">
        <v>94</v>
      </c>
      <c r="H3" s="151" t="s">
        <v>95</v>
      </c>
      <c r="I3" s="152"/>
      <c r="J3" s="153" t="s">
        <v>93</v>
      </c>
      <c r="K3" s="154"/>
      <c r="L3" s="155"/>
      <c r="M3" s="156" t="s">
        <v>94</v>
      </c>
      <c r="N3" s="157" t="s">
        <v>96</v>
      </c>
    </row>
    <row r="4" spans="1:14" s="169" customFormat="1" ht="18" customHeight="1">
      <c r="A4" s="261" t="s">
        <v>20</v>
      </c>
      <c r="B4" s="318">
        <v>14.5</v>
      </c>
      <c r="C4" s="161">
        <v>33</v>
      </c>
      <c r="D4" s="181">
        <v>31</v>
      </c>
      <c r="E4" s="177"/>
      <c r="F4" s="160">
        <v>1</v>
      </c>
      <c r="G4" s="160">
        <v>10</v>
      </c>
      <c r="H4" s="163">
        <f aca="true" t="shared" si="0" ref="H4:H11">N4+I4</f>
        <v>1550000</v>
      </c>
      <c r="I4" s="164">
        <f aca="true" t="shared" si="1" ref="I4:I11">IF(E4&gt;0,$N$13,0)+IF(C4&gt;0,50000,0)+IF(C12&lt;0,50000,0)</f>
        <v>50000</v>
      </c>
      <c r="J4" s="165" t="s">
        <v>97</v>
      </c>
      <c r="K4" s="166"/>
      <c r="L4" s="167"/>
      <c r="M4" s="168">
        <v>10</v>
      </c>
      <c r="N4" s="163">
        <f>N12*25%</f>
        <v>1500000</v>
      </c>
    </row>
    <row r="5" spans="1:14" s="169" customFormat="1" ht="18" customHeight="1">
      <c r="A5" s="261" t="s">
        <v>44</v>
      </c>
      <c r="B5" s="318">
        <v>18</v>
      </c>
      <c r="C5" s="160">
        <v>32</v>
      </c>
      <c r="D5" s="161">
        <v>35</v>
      </c>
      <c r="E5" s="162"/>
      <c r="F5" s="160">
        <v>2</v>
      </c>
      <c r="G5" s="160">
        <v>8</v>
      </c>
      <c r="H5" s="163">
        <f t="shared" si="0"/>
        <v>1250000</v>
      </c>
      <c r="I5" s="164">
        <f t="shared" si="1"/>
        <v>50000</v>
      </c>
      <c r="J5" s="170" t="s">
        <v>98</v>
      </c>
      <c r="K5" s="171"/>
      <c r="L5" s="172"/>
      <c r="M5" s="173">
        <v>8</v>
      </c>
      <c r="N5" s="163">
        <f>N12*20%</f>
        <v>1200000</v>
      </c>
    </row>
    <row r="6" spans="1:14" s="169" customFormat="1" ht="18" customHeight="1">
      <c r="A6" s="261" t="s">
        <v>30</v>
      </c>
      <c r="B6" s="318">
        <v>10.7</v>
      </c>
      <c r="C6" s="161">
        <v>31</v>
      </c>
      <c r="D6" s="181">
        <v>31</v>
      </c>
      <c r="E6" s="162"/>
      <c r="F6" s="64">
        <v>3</v>
      </c>
      <c r="G6" s="64">
        <v>6</v>
      </c>
      <c r="H6" s="163">
        <f t="shared" si="0"/>
        <v>950000</v>
      </c>
      <c r="I6" s="164">
        <f t="shared" si="1"/>
        <v>50000</v>
      </c>
      <c r="J6" s="170" t="s">
        <v>99</v>
      </c>
      <c r="K6" s="171"/>
      <c r="L6" s="172"/>
      <c r="M6" s="173">
        <v>6</v>
      </c>
      <c r="N6" s="163">
        <f>N12*15%</f>
        <v>900000</v>
      </c>
    </row>
    <row r="7" spans="1:18" s="169" customFormat="1" ht="18" customHeight="1">
      <c r="A7" s="261" t="s">
        <v>32</v>
      </c>
      <c r="B7" s="318">
        <v>12.6</v>
      </c>
      <c r="C7" s="160">
        <v>31</v>
      </c>
      <c r="D7" s="161">
        <v>33</v>
      </c>
      <c r="E7" s="162"/>
      <c r="F7" s="160">
        <v>4</v>
      </c>
      <c r="G7" s="160">
        <v>5</v>
      </c>
      <c r="H7" s="163">
        <f t="shared" si="0"/>
        <v>770000</v>
      </c>
      <c r="I7" s="164">
        <f t="shared" si="1"/>
        <v>50000</v>
      </c>
      <c r="J7" s="170" t="s">
        <v>100</v>
      </c>
      <c r="K7" s="171"/>
      <c r="L7" s="172"/>
      <c r="M7" s="173">
        <v>5</v>
      </c>
      <c r="N7" s="163">
        <f>N12*12%</f>
        <v>720000</v>
      </c>
      <c r="O7" s="175"/>
      <c r="P7" s="175"/>
      <c r="Q7" s="175"/>
      <c r="R7" s="176"/>
    </row>
    <row r="8" spans="1:14" s="169" customFormat="1" ht="18" customHeight="1">
      <c r="A8" s="261" t="s">
        <v>58</v>
      </c>
      <c r="B8" s="318">
        <v>20.8</v>
      </c>
      <c r="C8" s="160">
        <v>31</v>
      </c>
      <c r="D8" s="181">
        <v>38</v>
      </c>
      <c r="E8" s="177"/>
      <c r="F8" s="160">
        <v>5</v>
      </c>
      <c r="G8" s="160">
        <v>4</v>
      </c>
      <c r="H8" s="163">
        <f t="shared" si="0"/>
        <v>650000</v>
      </c>
      <c r="I8" s="164">
        <f t="shared" si="1"/>
        <v>50000</v>
      </c>
      <c r="J8" s="170" t="s">
        <v>101</v>
      </c>
      <c r="K8" s="171"/>
      <c r="L8" s="172"/>
      <c r="M8" s="173">
        <v>4</v>
      </c>
      <c r="N8" s="163">
        <f>N12*10%</f>
        <v>600000</v>
      </c>
    </row>
    <row r="9" spans="1:14" s="169" customFormat="1" ht="18" customHeight="1">
      <c r="A9" s="261" t="s">
        <v>40</v>
      </c>
      <c r="B9" s="318">
        <v>14.5</v>
      </c>
      <c r="C9" s="160">
        <v>30</v>
      </c>
      <c r="D9" s="181">
        <v>37</v>
      </c>
      <c r="E9" s="162"/>
      <c r="F9" s="178">
        <v>6</v>
      </c>
      <c r="G9" s="178">
        <v>3</v>
      </c>
      <c r="H9" s="163">
        <f t="shared" si="0"/>
        <v>530000</v>
      </c>
      <c r="I9" s="164">
        <f t="shared" si="1"/>
        <v>50000</v>
      </c>
      <c r="J9" s="170" t="s">
        <v>102</v>
      </c>
      <c r="K9" s="171"/>
      <c r="L9" s="172"/>
      <c r="M9" s="173">
        <v>3</v>
      </c>
      <c r="N9" s="163">
        <f>N12*8%</f>
        <v>480000</v>
      </c>
    </row>
    <row r="10" spans="1:14" s="169" customFormat="1" ht="18" customHeight="1">
      <c r="A10" s="261" t="s">
        <v>38</v>
      </c>
      <c r="B10" s="318">
        <v>22.4</v>
      </c>
      <c r="C10" s="160">
        <v>25</v>
      </c>
      <c r="D10" s="161">
        <v>37</v>
      </c>
      <c r="E10" s="177">
        <v>10.27</v>
      </c>
      <c r="F10" s="160">
        <v>7</v>
      </c>
      <c r="G10" s="160">
        <v>2</v>
      </c>
      <c r="H10" s="163">
        <f t="shared" si="0"/>
        <v>770000</v>
      </c>
      <c r="I10" s="164">
        <f t="shared" si="1"/>
        <v>410000</v>
      </c>
      <c r="J10" s="170" t="s">
        <v>103</v>
      </c>
      <c r="K10" s="171"/>
      <c r="L10" s="172"/>
      <c r="M10" s="173">
        <v>2</v>
      </c>
      <c r="N10" s="163">
        <f>N12*6%</f>
        <v>360000</v>
      </c>
    </row>
    <row r="11" spans="1:14" s="169" customFormat="1" ht="18" customHeight="1">
      <c r="A11" s="261" t="s">
        <v>54</v>
      </c>
      <c r="B11" s="318">
        <v>24.9</v>
      </c>
      <c r="C11" s="161">
        <v>25</v>
      </c>
      <c r="D11" s="161">
        <v>40</v>
      </c>
      <c r="E11" s="177"/>
      <c r="F11" s="160">
        <v>8</v>
      </c>
      <c r="G11" s="160">
        <v>1</v>
      </c>
      <c r="H11" s="163">
        <f t="shared" si="0"/>
        <v>290000</v>
      </c>
      <c r="I11" s="164">
        <f t="shared" si="1"/>
        <v>50000</v>
      </c>
      <c r="J11" s="170" t="s">
        <v>104</v>
      </c>
      <c r="K11" s="171"/>
      <c r="L11" s="172"/>
      <c r="M11" s="173">
        <v>1</v>
      </c>
      <c r="N11" s="163">
        <f>N12*4%</f>
        <v>240000</v>
      </c>
    </row>
    <row r="12" spans="1:14" s="169" customFormat="1" ht="18" customHeight="1">
      <c r="A12" s="261" t="s">
        <v>26</v>
      </c>
      <c r="B12" s="318">
        <v>14.4</v>
      </c>
      <c r="C12" s="161">
        <v>23</v>
      </c>
      <c r="D12" s="161">
        <v>35</v>
      </c>
      <c r="E12" s="177"/>
      <c r="F12" s="160"/>
      <c r="G12" s="160"/>
      <c r="H12" s="163">
        <f aca="true" t="shared" si="2" ref="H12:H27">I12</f>
        <v>50000</v>
      </c>
      <c r="I12" s="164">
        <f aca="true" t="shared" si="3" ref="I12:I27">IF(E12&gt;0,$N$13,0)+IF(C12&gt;0,50000,0)+IF(C12&lt;0,50000,0)</f>
        <v>50000</v>
      </c>
      <c r="J12" s="179" t="s">
        <v>105</v>
      </c>
      <c r="K12" s="171"/>
      <c r="L12" s="172"/>
      <c r="M12" s="173"/>
      <c r="N12" s="180">
        <v>6000000</v>
      </c>
    </row>
    <row r="13" spans="1:14" s="169" customFormat="1" ht="18" customHeight="1">
      <c r="A13" s="261" t="s">
        <v>28</v>
      </c>
      <c r="B13" s="318">
        <v>18.7</v>
      </c>
      <c r="C13" s="160">
        <v>22</v>
      </c>
      <c r="D13" s="161">
        <v>40</v>
      </c>
      <c r="E13" s="162"/>
      <c r="F13" s="160"/>
      <c r="G13" s="160"/>
      <c r="H13" s="163">
        <f t="shared" si="2"/>
        <v>50000</v>
      </c>
      <c r="I13" s="164">
        <f t="shared" si="3"/>
        <v>50000</v>
      </c>
      <c r="J13" s="182" t="s">
        <v>106</v>
      </c>
      <c r="K13" s="183"/>
      <c r="L13" s="184"/>
      <c r="M13" s="185">
        <v>1</v>
      </c>
      <c r="N13" s="186">
        <f>N10</f>
        <v>360000</v>
      </c>
    </row>
    <row r="14" spans="1:14" s="169" customFormat="1" ht="18" customHeight="1">
      <c r="A14" s="261"/>
      <c r="B14" s="318"/>
      <c r="C14" s="160"/>
      <c r="D14" s="161"/>
      <c r="E14" s="162"/>
      <c r="F14" s="160"/>
      <c r="G14" s="160"/>
      <c r="H14" s="163">
        <f t="shared" si="2"/>
        <v>0</v>
      </c>
      <c r="I14" s="164">
        <f t="shared" si="3"/>
        <v>0</v>
      </c>
      <c r="J14" s="187"/>
      <c r="K14" s="183"/>
      <c r="L14" s="183"/>
      <c r="M14" s="188"/>
      <c r="N14" s="189"/>
    </row>
    <row r="15" spans="1:14" s="169" customFormat="1" ht="18" customHeight="1">
      <c r="A15" s="261"/>
      <c r="B15" s="318"/>
      <c r="C15" s="160"/>
      <c r="D15" s="181"/>
      <c r="E15" s="177"/>
      <c r="F15" s="160"/>
      <c r="G15" s="160"/>
      <c r="H15" s="163">
        <f t="shared" si="2"/>
        <v>0</v>
      </c>
      <c r="I15" s="164">
        <f t="shared" si="3"/>
        <v>0</v>
      </c>
      <c r="J15" s="190"/>
      <c r="K15" s="191"/>
      <c r="L15" s="191"/>
      <c r="M15" s="192"/>
      <c r="N15" s="193"/>
    </row>
    <row r="16" spans="1:9" s="169" customFormat="1" ht="18" customHeight="1">
      <c r="A16" s="261"/>
      <c r="B16" s="318"/>
      <c r="C16" s="160"/>
      <c r="D16" s="181"/>
      <c r="E16" s="177"/>
      <c r="F16" s="64"/>
      <c r="G16" s="64"/>
      <c r="H16" s="163">
        <f t="shared" si="2"/>
        <v>0</v>
      </c>
      <c r="I16" s="164">
        <f t="shared" si="3"/>
        <v>0</v>
      </c>
    </row>
    <row r="17" spans="1:18" s="169" customFormat="1" ht="18" customHeight="1">
      <c r="A17" s="261"/>
      <c r="B17" s="318"/>
      <c r="C17" s="160"/>
      <c r="D17" s="161"/>
      <c r="E17" s="162"/>
      <c r="F17" s="64"/>
      <c r="G17" s="64"/>
      <c r="H17" s="163">
        <f t="shared" si="2"/>
        <v>0</v>
      </c>
      <c r="I17" s="164">
        <f t="shared" si="3"/>
        <v>0</v>
      </c>
      <c r="O17" s="175"/>
      <c r="P17" s="175"/>
      <c r="Q17" s="175"/>
      <c r="R17" s="176"/>
    </row>
    <row r="18" spans="1:12" s="169" customFormat="1" ht="18" customHeight="1">
      <c r="A18" s="261"/>
      <c r="B18" s="318"/>
      <c r="C18" s="160"/>
      <c r="D18" s="181"/>
      <c r="E18" s="162"/>
      <c r="F18" s="160"/>
      <c r="G18" s="160"/>
      <c r="H18" s="163">
        <f t="shared" si="2"/>
        <v>0</v>
      </c>
      <c r="I18" s="164">
        <f t="shared" si="3"/>
        <v>0</v>
      </c>
      <c r="J18" s="176"/>
      <c r="K18" s="176"/>
      <c r="L18" s="176"/>
    </row>
    <row r="19" spans="1:12" s="169" customFormat="1" ht="18" customHeight="1">
      <c r="A19" s="261"/>
      <c r="B19" s="318"/>
      <c r="C19" s="64"/>
      <c r="D19" s="161"/>
      <c r="E19" s="162"/>
      <c r="F19" s="160"/>
      <c r="G19" s="160"/>
      <c r="H19" s="163">
        <f t="shared" si="2"/>
        <v>0</v>
      </c>
      <c r="I19" s="164">
        <f t="shared" si="3"/>
        <v>0</v>
      </c>
      <c r="J19" s="176"/>
      <c r="K19" s="176"/>
      <c r="L19" s="176"/>
    </row>
    <row r="20" spans="1:9" s="144" customFormat="1" ht="18" customHeight="1">
      <c r="A20" s="261"/>
      <c r="B20" s="318"/>
      <c r="C20" s="161"/>
      <c r="D20" s="161"/>
      <c r="E20" s="177"/>
      <c r="F20" s="64"/>
      <c r="G20" s="64"/>
      <c r="H20" s="163">
        <f t="shared" si="2"/>
        <v>0</v>
      </c>
      <c r="I20" s="164">
        <f t="shared" si="3"/>
        <v>0</v>
      </c>
    </row>
    <row r="21" spans="1:9" s="144" customFormat="1" ht="18" customHeight="1">
      <c r="A21" s="261"/>
      <c r="B21" s="318"/>
      <c r="C21" s="161"/>
      <c r="D21" s="161"/>
      <c r="E21" s="162"/>
      <c r="F21" s="64"/>
      <c r="G21" s="64"/>
      <c r="H21" s="163">
        <f t="shared" si="2"/>
        <v>0</v>
      </c>
      <c r="I21" s="164">
        <f t="shared" si="3"/>
        <v>0</v>
      </c>
    </row>
    <row r="22" spans="1:9" s="144" customFormat="1" ht="18" customHeight="1">
      <c r="A22" s="261"/>
      <c r="B22" s="318"/>
      <c r="C22" s="160"/>
      <c r="D22" s="161"/>
      <c r="E22" s="162"/>
      <c r="F22" s="64"/>
      <c r="G22" s="64"/>
      <c r="H22" s="163">
        <f t="shared" si="2"/>
        <v>0</v>
      </c>
      <c r="I22" s="164">
        <f t="shared" si="3"/>
        <v>0</v>
      </c>
    </row>
    <row r="23" spans="1:9" s="144" customFormat="1" ht="18" customHeight="1">
      <c r="A23" s="261"/>
      <c r="B23" s="318"/>
      <c r="C23" s="181"/>
      <c r="D23" s="161"/>
      <c r="E23" s="162"/>
      <c r="F23" s="64"/>
      <c r="G23" s="64"/>
      <c r="H23" s="163">
        <f t="shared" si="2"/>
        <v>0</v>
      </c>
      <c r="I23" s="164">
        <f t="shared" si="3"/>
        <v>0</v>
      </c>
    </row>
    <row r="24" spans="1:9" s="144" customFormat="1" ht="18" customHeight="1">
      <c r="A24" s="261"/>
      <c r="B24" s="318"/>
      <c r="C24" s="160"/>
      <c r="D24" s="161"/>
      <c r="E24" s="162"/>
      <c r="F24" s="64"/>
      <c r="G24" s="64"/>
      <c r="H24" s="163">
        <f t="shared" si="2"/>
        <v>0</v>
      </c>
      <c r="I24" s="164">
        <f t="shared" si="3"/>
        <v>0</v>
      </c>
    </row>
    <row r="25" spans="1:9" s="144" customFormat="1" ht="18" customHeight="1">
      <c r="A25" s="261"/>
      <c r="B25" s="318"/>
      <c r="C25" s="64"/>
      <c r="D25" s="181"/>
      <c r="E25" s="162"/>
      <c r="F25" s="64"/>
      <c r="G25" s="64"/>
      <c r="H25" s="163">
        <f t="shared" si="2"/>
        <v>0</v>
      </c>
      <c r="I25" s="164">
        <f t="shared" si="3"/>
        <v>0</v>
      </c>
    </row>
    <row r="26" spans="1:9" s="144" customFormat="1" ht="18" customHeight="1">
      <c r="A26" s="261"/>
      <c r="B26" s="318"/>
      <c r="C26" s="160"/>
      <c r="D26" s="161"/>
      <c r="E26" s="162"/>
      <c r="F26" s="160"/>
      <c r="G26" s="160"/>
      <c r="H26" s="163">
        <f t="shared" si="2"/>
        <v>0</v>
      </c>
      <c r="I26" s="164">
        <f t="shared" si="3"/>
        <v>0</v>
      </c>
    </row>
    <row r="27" spans="1:9" s="144" customFormat="1" ht="18" customHeight="1">
      <c r="A27" s="65"/>
      <c r="B27" s="66"/>
      <c r="C27" s="160"/>
      <c r="D27" s="161"/>
      <c r="E27" s="162"/>
      <c r="F27" s="160"/>
      <c r="G27" s="160"/>
      <c r="H27" s="163">
        <f t="shared" si="2"/>
        <v>0</v>
      </c>
      <c r="I27" s="164">
        <f t="shared" si="3"/>
        <v>0</v>
      </c>
    </row>
    <row r="28" spans="1:9" ht="24" customHeight="1">
      <c r="A28" s="1"/>
      <c r="B28" s="3"/>
      <c r="C28" s="196"/>
      <c r="D28" s="197">
        <f>SUM(D4:D27)</f>
        <v>357</v>
      </c>
      <c r="E28" s="196"/>
      <c r="F28" s="3"/>
      <c r="G28" s="198">
        <f>SUM(G4:G27)</f>
        <v>39</v>
      </c>
      <c r="H28" s="198">
        <f>SUM(H4:H27)</f>
        <v>6860000</v>
      </c>
      <c r="I28" s="19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8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workbookViewId="0" topLeftCell="A1">
      <selection activeCell="A1" sqref="A1:N28"/>
    </sheetView>
  </sheetViews>
  <sheetFormatPr defaultColWidth="9.140625" defaultRowHeight="12.75"/>
  <cols>
    <col min="1" max="1" width="25.140625" style="141" customWidth="1"/>
    <col min="2" max="2" width="7.8515625" style="142" customWidth="1"/>
    <col min="3" max="3" width="8.421875" style="143" customWidth="1"/>
    <col min="4" max="4" width="6.8515625" style="142" customWidth="1"/>
    <col min="5" max="5" width="8.140625" style="142" customWidth="1"/>
    <col min="6" max="6" width="10.140625" style="142" customWidth="1"/>
    <col min="7" max="7" width="9.140625" style="142" customWidth="1"/>
    <col min="8" max="8" width="13.421875" style="142" customWidth="1"/>
    <col min="9" max="9" width="4.8515625" style="11" customWidth="1"/>
    <col min="10" max="10" width="8.421875" style="11" customWidth="1"/>
    <col min="11" max="11" width="7.00390625" style="11" customWidth="1"/>
    <col min="12" max="12" width="7.8515625" style="11" customWidth="1"/>
    <col min="13" max="13" width="7.421875" style="11" customWidth="1"/>
    <col min="14" max="14" width="12.421875" style="11" customWidth="1"/>
    <col min="15" max="15" width="7.421875" style="11" customWidth="1"/>
    <col min="16" max="16384" width="9.140625" style="11" customWidth="1"/>
  </cols>
  <sheetData>
    <row r="1" spans="2:14" s="144" customFormat="1" ht="43.5" customHeight="1">
      <c r="B1" s="419" t="s">
        <v>128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2:14" s="144" customFormat="1" ht="29.25" customHeight="1">
      <c r="B2" s="425" t="s">
        <v>295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4" s="158" customFormat="1" ht="27" customHeight="1">
      <c r="A3" s="147" t="s">
        <v>88</v>
      </c>
      <c r="B3" s="148" t="s">
        <v>89</v>
      </c>
      <c r="C3" s="148" t="s">
        <v>121</v>
      </c>
      <c r="D3" s="148" t="s">
        <v>91</v>
      </c>
      <c r="E3" s="148" t="s">
        <v>92</v>
      </c>
      <c r="F3" s="149" t="s">
        <v>93</v>
      </c>
      <c r="G3" s="150" t="s">
        <v>94</v>
      </c>
      <c r="H3" s="151" t="s">
        <v>95</v>
      </c>
      <c r="I3" s="152"/>
      <c r="J3" s="153" t="s">
        <v>93</v>
      </c>
      <c r="K3" s="154"/>
      <c r="L3" s="155"/>
      <c r="M3" s="156" t="s">
        <v>94</v>
      </c>
      <c r="N3" s="157" t="s">
        <v>96</v>
      </c>
    </row>
    <row r="4" spans="1:14" s="169" customFormat="1" ht="18" customHeight="1">
      <c r="A4" s="278" t="s">
        <v>36</v>
      </c>
      <c r="B4" s="317">
        <v>15.4</v>
      </c>
      <c r="C4" s="160">
        <v>68</v>
      </c>
      <c r="D4" s="181">
        <v>25</v>
      </c>
      <c r="E4" s="162">
        <v>3.45</v>
      </c>
      <c r="F4" s="160">
        <v>1</v>
      </c>
      <c r="G4" s="160">
        <v>10</v>
      </c>
      <c r="H4" s="163">
        <f aca="true" t="shared" si="0" ref="H4:H11">N4+I4</f>
        <v>1910000</v>
      </c>
      <c r="I4" s="164">
        <f aca="true" t="shared" si="1" ref="I4:I11">IF(E4&gt;0,$N$13,0)+IF(C4&gt;0,50000,0)+IF(C12&lt;0,50000,0)</f>
        <v>410000</v>
      </c>
      <c r="J4" s="165" t="s">
        <v>97</v>
      </c>
      <c r="K4" s="166"/>
      <c r="L4" s="167"/>
      <c r="M4" s="168">
        <v>10</v>
      </c>
      <c r="N4" s="163">
        <f>N12*25%</f>
        <v>1500000</v>
      </c>
    </row>
    <row r="5" spans="1:14" s="169" customFormat="1" ht="18" customHeight="1">
      <c r="A5" s="261" t="s">
        <v>16</v>
      </c>
      <c r="B5" s="318">
        <v>9.8</v>
      </c>
      <c r="C5" s="64">
        <v>70</v>
      </c>
      <c r="D5" s="161">
        <v>30</v>
      </c>
      <c r="E5" s="177"/>
      <c r="F5" s="160">
        <v>2</v>
      </c>
      <c r="G5" s="160">
        <v>8</v>
      </c>
      <c r="H5" s="163">
        <f t="shared" si="0"/>
        <v>1250000</v>
      </c>
      <c r="I5" s="164">
        <f t="shared" si="1"/>
        <v>50000</v>
      </c>
      <c r="J5" s="170" t="s">
        <v>98</v>
      </c>
      <c r="K5" s="171"/>
      <c r="L5" s="172"/>
      <c r="M5" s="173">
        <v>8</v>
      </c>
      <c r="N5" s="163">
        <f>N12*20%</f>
        <v>1200000</v>
      </c>
    </row>
    <row r="6" spans="1:14" s="169" customFormat="1" ht="18" customHeight="1">
      <c r="A6" s="261" t="s">
        <v>50</v>
      </c>
      <c r="B6" s="318">
        <v>7.7</v>
      </c>
      <c r="C6" s="64">
        <v>72</v>
      </c>
      <c r="D6" s="181">
        <v>25</v>
      </c>
      <c r="E6" s="177"/>
      <c r="F6" s="64">
        <v>3</v>
      </c>
      <c r="G6" s="64">
        <v>6</v>
      </c>
      <c r="H6" s="163">
        <f t="shared" si="0"/>
        <v>950000</v>
      </c>
      <c r="I6" s="164">
        <f t="shared" si="1"/>
        <v>50000</v>
      </c>
      <c r="J6" s="170" t="s">
        <v>99</v>
      </c>
      <c r="K6" s="171"/>
      <c r="L6" s="172"/>
      <c r="M6" s="173">
        <v>6</v>
      </c>
      <c r="N6" s="163">
        <f>N12*15%</f>
        <v>900000</v>
      </c>
    </row>
    <row r="7" spans="1:18" s="169" customFormat="1" ht="18" customHeight="1">
      <c r="A7" s="261" t="s">
        <v>38</v>
      </c>
      <c r="B7" s="318">
        <v>22.4</v>
      </c>
      <c r="C7" s="160">
        <v>72</v>
      </c>
      <c r="D7" s="161">
        <v>28</v>
      </c>
      <c r="E7" s="177"/>
      <c r="F7" s="160">
        <v>4</v>
      </c>
      <c r="G7" s="160">
        <v>5</v>
      </c>
      <c r="H7" s="163">
        <f t="shared" si="0"/>
        <v>770000</v>
      </c>
      <c r="I7" s="164">
        <f t="shared" si="1"/>
        <v>50000</v>
      </c>
      <c r="J7" s="170" t="s">
        <v>100</v>
      </c>
      <c r="K7" s="171"/>
      <c r="L7" s="172"/>
      <c r="M7" s="173">
        <v>5</v>
      </c>
      <c r="N7" s="163">
        <f>N12*12%</f>
        <v>720000</v>
      </c>
      <c r="O7" s="175"/>
      <c r="P7" s="175"/>
      <c r="Q7" s="175"/>
      <c r="R7" s="176"/>
    </row>
    <row r="8" spans="1:14" s="169" customFormat="1" ht="18" customHeight="1">
      <c r="A8" s="261" t="s">
        <v>12</v>
      </c>
      <c r="B8" s="318">
        <v>12.6</v>
      </c>
      <c r="C8" s="161">
        <v>73</v>
      </c>
      <c r="D8" s="161">
        <v>31</v>
      </c>
      <c r="E8" s="162"/>
      <c r="F8" s="160">
        <v>5</v>
      </c>
      <c r="G8" s="160">
        <v>4</v>
      </c>
      <c r="H8" s="163">
        <f t="shared" si="0"/>
        <v>650000</v>
      </c>
      <c r="I8" s="164">
        <f t="shared" si="1"/>
        <v>50000</v>
      </c>
      <c r="J8" s="170" t="s">
        <v>101</v>
      </c>
      <c r="K8" s="171"/>
      <c r="L8" s="172"/>
      <c r="M8" s="173">
        <v>4</v>
      </c>
      <c r="N8" s="163">
        <f>N12*10%</f>
        <v>600000</v>
      </c>
    </row>
    <row r="9" spans="1:14" s="169" customFormat="1" ht="18" customHeight="1">
      <c r="A9" s="261" t="s">
        <v>40</v>
      </c>
      <c r="B9" s="318">
        <v>14.3</v>
      </c>
      <c r="C9" s="161">
        <v>74</v>
      </c>
      <c r="D9" s="181">
        <v>32</v>
      </c>
      <c r="E9" s="162"/>
      <c r="F9" s="178">
        <v>6</v>
      </c>
      <c r="G9" s="178">
        <v>3</v>
      </c>
      <c r="H9" s="163">
        <f t="shared" si="0"/>
        <v>530000</v>
      </c>
      <c r="I9" s="164">
        <f t="shared" si="1"/>
        <v>50000</v>
      </c>
      <c r="J9" s="170" t="s">
        <v>102</v>
      </c>
      <c r="K9" s="171"/>
      <c r="L9" s="172"/>
      <c r="M9" s="173">
        <v>3</v>
      </c>
      <c r="N9" s="163">
        <f>N12*8%</f>
        <v>480000</v>
      </c>
    </row>
    <row r="10" spans="1:14" s="169" customFormat="1" ht="18" customHeight="1">
      <c r="A10" s="261" t="s">
        <v>46</v>
      </c>
      <c r="B10" s="318">
        <v>14.9</v>
      </c>
      <c r="C10" s="181">
        <v>75</v>
      </c>
      <c r="D10" s="161">
        <v>33</v>
      </c>
      <c r="E10" s="162"/>
      <c r="F10" s="160">
        <v>7</v>
      </c>
      <c r="G10" s="160">
        <v>2</v>
      </c>
      <c r="H10" s="163">
        <f t="shared" si="0"/>
        <v>410000</v>
      </c>
      <c r="I10" s="164">
        <f t="shared" si="1"/>
        <v>50000</v>
      </c>
      <c r="J10" s="170" t="s">
        <v>103</v>
      </c>
      <c r="K10" s="171"/>
      <c r="L10" s="172"/>
      <c r="M10" s="173">
        <v>2</v>
      </c>
      <c r="N10" s="163">
        <f>N12*6%</f>
        <v>360000</v>
      </c>
    </row>
    <row r="11" spans="1:14" s="169" customFormat="1" ht="18" customHeight="1">
      <c r="A11" s="261" t="s">
        <v>44</v>
      </c>
      <c r="B11" s="318">
        <v>17.9</v>
      </c>
      <c r="C11" s="160">
        <v>75</v>
      </c>
      <c r="D11" s="181">
        <v>31</v>
      </c>
      <c r="E11" s="162"/>
      <c r="F11" s="160">
        <v>8</v>
      </c>
      <c r="G11" s="160">
        <v>1</v>
      </c>
      <c r="H11" s="163">
        <f t="shared" si="0"/>
        <v>290000</v>
      </c>
      <c r="I11" s="164">
        <f t="shared" si="1"/>
        <v>50000</v>
      </c>
      <c r="J11" s="170" t="s">
        <v>104</v>
      </c>
      <c r="K11" s="171"/>
      <c r="L11" s="172"/>
      <c r="M11" s="173">
        <v>1</v>
      </c>
      <c r="N11" s="163">
        <f>N12*4%</f>
        <v>240000</v>
      </c>
    </row>
    <row r="12" spans="1:14" s="169" customFormat="1" ht="18" customHeight="1">
      <c r="A12" s="261" t="s">
        <v>14</v>
      </c>
      <c r="B12" s="318">
        <v>18.5</v>
      </c>
      <c r="C12" s="160">
        <v>75</v>
      </c>
      <c r="D12" s="161">
        <v>30</v>
      </c>
      <c r="E12" s="162"/>
      <c r="F12" s="160"/>
      <c r="G12" s="160"/>
      <c r="H12" s="163">
        <f aca="true" t="shared" si="2" ref="H12:H27">I12</f>
        <v>50000</v>
      </c>
      <c r="I12" s="164">
        <f aca="true" t="shared" si="3" ref="I12:I27">IF(E12&gt;0,$N$13,0)+IF(C12&gt;0,50000,0)+IF(C12&lt;0,50000,0)</f>
        <v>50000</v>
      </c>
      <c r="J12" s="179" t="s">
        <v>105</v>
      </c>
      <c r="K12" s="171"/>
      <c r="L12" s="172"/>
      <c r="M12" s="173"/>
      <c r="N12" s="180">
        <v>6000000</v>
      </c>
    </row>
    <row r="13" spans="1:14" s="169" customFormat="1" ht="18" customHeight="1">
      <c r="A13" s="261" t="s">
        <v>20</v>
      </c>
      <c r="B13" s="318">
        <v>14.4</v>
      </c>
      <c r="C13" s="160">
        <v>76</v>
      </c>
      <c r="D13" s="161">
        <v>32</v>
      </c>
      <c r="E13" s="162"/>
      <c r="F13" s="160"/>
      <c r="G13" s="160"/>
      <c r="H13" s="163">
        <f t="shared" si="2"/>
        <v>50000</v>
      </c>
      <c r="I13" s="164">
        <f t="shared" si="3"/>
        <v>50000</v>
      </c>
      <c r="J13" s="182" t="s">
        <v>106</v>
      </c>
      <c r="K13" s="183"/>
      <c r="L13" s="184"/>
      <c r="M13" s="185">
        <v>1</v>
      </c>
      <c r="N13" s="186">
        <f>N10</f>
        <v>360000</v>
      </c>
    </row>
    <row r="14" spans="1:14" s="169" customFormat="1" ht="18" customHeight="1">
      <c r="A14" s="261" t="s">
        <v>32</v>
      </c>
      <c r="B14" s="318">
        <v>12.5</v>
      </c>
      <c r="C14" s="160">
        <v>77</v>
      </c>
      <c r="D14" s="181">
        <v>31</v>
      </c>
      <c r="E14" s="162">
        <v>10.35</v>
      </c>
      <c r="F14" s="160"/>
      <c r="G14" s="160"/>
      <c r="H14" s="163">
        <v>150000</v>
      </c>
      <c r="I14" s="164">
        <f t="shared" si="3"/>
        <v>410000</v>
      </c>
      <c r="J14" s="187"/>
      <c r="K14" s="183"/>
      <c r="L14" s="183"/>
      <c r="M14" s="188"/>
      <c r="N14" s="189"/>
    </row>
    <row r="15" spans="1:14" s="169" customFormat="1" ht="18" customHeight="1">
      <c r="A15" s="261" t="s">
        <v>54</v>
      </c>
      <c r="B15" s="318">
        <v>24.8</v>
      </c>
      <c r="C15" s="160">
        <v>77</v>
      </c>
      <c r="D15" s="161">
        <v>32</v>
      </c>
      <c r="E15" s="162"/>
      <c r="F15" s="160"/>
      <c r="G15" s="160"/>
      <c r="H15" s="163">
        <f t="shared" si="2"/>
        <v>50000</v>
      </c>
      <c r="I15" s="164">
        <f t="shared" si="3"/>
        <v>50000</v>
      </c>
      <c r="J15" s="190"/>
      <c r="K15" s="191"/>
      <c r="L15" s="191"/>
      <c r="M15" s="192"/>
      <c r="N15" s="193"/>
    </row>
    <row r="16" spans="1:9" s="169" customFormat="1" ht="18" customHeight="1">
      <c r="A16" s="261" t="s">
        <v>30</v>
      </c>
      <c r="B16" s="318">
        <v>10.6</v>
      </c>
      <c r="C16" s="160">
        <v>80</v>
      </c>
      <c r="D16" s="161">
        <v>28</v>
      </c>
      <c r="E16" s="162" t="s">
        <v>273</v>
      </c>
      <c r="F16" s="64"/>
      <c r="G16" s="64"/>
      <c r="H16" s="163">
        <v>250000</v>
      </c>
      <c r="I16" s="164">
        <f t="shared" si="3"/>
        <v>410000</v>
      </c>
    </row>
    <row r="17" spans="1:18" s="169" customFormat="1" ht="18" customHeight="1">
      <c r="A17" s="261" t="s">
        <v>56</v>
      </c>
      <c r="B17" s="318">
        <v>14</v>
      </c>
      <c r="C17" s="161">
        <v>81</v>
      </c>
      <c r="D17" s="161">
        <v>29</v>
      </c>
      <c r="E17" s="162">
        <v>8.94</v>
      </c>
      <c r="F17" s="64"/>
      <c r="G17" s="64"/>
      <c r="H17" s="163">
        <v>150000</v>
      </c>
      <c r="I17" s="164">
        <f t="shared" si="3"/>
        <v>410000</v>
      </c>
      <c r="O17" s="175"/>
      <c r="P17" s="175"/>
      <c r="Q17" s="175"/>
      <c r="R17" s="176"/>
    </row>
    <row r="18" spans="1:13" s="169" customFormat="1" ht="18" customHeight="1">
      <c r="A18" s="261" t="s">
        <v>28</v>
      </c>
      <c r="B18" s="318">
        <v>18.7</v>
      </c>
      <c r="C18" s="161">
        <v>83</v>
      </c>
      <c r="D18" s="161">
        <v>33</v>
      </c>
      <c r="E18" s="177"/>
      <c r="F18" s="160"/>
      <c r="G18" s="160"/>
      <c r="H18" s="163">
        <f t="shared" si="2"/>
        <v>50000</v>
      </c>
      <c r="I18" s="164">
        <f t="shared" si="3"/>
        <v>50000</v>
      </c>
      <c r="J18" s="176"/>
      <c r="K18" s="176"/>
      <c r="L18" s="176"/>
      <c r="M18" s="176"/>
    </row>
    <row r="19" spans="1:13" s="169" customFormat="1" ht="18" customHeight="1">
      <c r="A19" s="261"/>
      <c r="B19" s="318"/>
      <c r="C19" s="160"/>
      <c r="D19" s="161"/>
      <c r="E19" s="162"/>
      <c r="F19" s="160"/>
      <c r="G19" s="160"/>
      <c r="H19" s="163">
        <f t="shared" si="2"/>
        <v>0</v>
      </c>
      <c r="I19" s="164">
        <f t="shared" si="3"/>
        <v>0</v>
      </c>
      <c r="J19" s="176"/>
      <c r="K19" s="176"/>
      <c r="L19" s="176"/>
      <c r="M19" s="176"/>
    </row>
    <row r="20" spans="1:9" s="144" customFormat="1" ht="18" customHeight="1">
      <c r="A20" s="261"/>
      <c r="B20" s="318"/>
      <c r="C20" s="161"/>
      <c r="D20" s="161"/>
      <c r="E20" s="162"/>
      <c r="F20" s="64"/>
      <c r="G20" s="64"/>
      <c r="H20" s="163">
        <f t="shared" si="2"/>
        <v>0</v>
      </c>
      <c r="I20" s="164">
        <f t="shared" si="3"/>
        <v>0</v>
      </c>
    </row>
    <row r="21" spans="1:9" s="144" customFormat="1" ht="18" customHeight="1">
      <c r="A21" s="261"/>
      <c r="B21" s="318"/>
      <c r="C21" s="160"/>
      <c r="D21" s="181"/>
      <c r="E21" s="177"/>
      <c r="F21" s="64"/>
      <c r="G21" s="64"/>
      <c r="H21" s="163">
        <f t="shared" si="2"/>
        <v>0</v>
      </c>
      <c r="I21" s="164">
        <f t="shared" si="3"/>
        <v>0</v>
      </c>
    </row>
    <row r="22" spans="1:9" s="144" customFormat="1" ht="18" customHeight="1">
      <c r="A22" s="261"/>
      <c r="B22" s="318"/>
      <c r="C22" s="161"/>
      <c r="D22" s="181"/>
      <c r="E22" s="177"/>
      <c r="F22" s="64"/>
      <c r="G22" s="64"/>
      <c r="H22" s="163">
        <f t="shared" si="2"/>
        <v>0</v>
      </c>
      <c r="I22" s="164">
        <f t="shared" si="3"/>
        <v>0</v>
      </c>
    </row>
    <row r="23" spans="1:9" s="144" customFormat="1" ht="18" customHeight="1">
      <c r="A23" s="261"/>
      <c r="B23" s="318"/>
      <c r="C23" s="160"/>
      <c r="D23" s="161"/>
      <c r="E23" s="177"/>
      <c r="F23" s="64"/>
      <c r="G23" s="64"/>
      <c r="H23" s="163">
        <f t="shared" si="2"/>
        <v>0</v>
      </c>
      <c r="I23" s="164">
        <f t="shared" si="3"/>
        <v>0</v>
      </c>
    </row>
    <row r="24" spans="1:9" s="144" customFormat="1" ht="18" customHeight="1">
      <c r="A24" s="261"/>
      <c r="B24" s="318"/>
      <c r="C24" s="160"/>
      <c r="D24" s="161"/>
      <c r="E24" s="162"/>
      <c r="F24" s="64"/>
      <c r="G24" s="64"/>
      <c r="H24" s="163">
        <f t="shared" si="2"/>
        <v>0</v>
      </c>
      <c r="I24" s="164">
        <f t="shared" si="3"/>
        <v>0</v>
      </c>
    </row>
    <row r="25" spans="1:9" s="144" customFormat="1" ht="18" customHeight="1">
      <c r="A25" s="261"/>
      <c r="B25" s="318"/>
      <c r="C25" s="160"/>
      <c r="D25" s="181"/>
      <c r="E25" s="177"/>
      <c r="F25" s="64"/>
      <c r="G25" s="64"/>
      <c r="H25" s="163">
        <f t="shared" si="2"/>
        <v>0</v>
      </c>
      <c r="I25" s="164">
        <f t="shared" si="3"/>
        <v>0</v>
      </c>
    </row>
    <row r="26" spans="1:9" s="144" customFormat="1" ht="18" customHeight="1">
      <c r="A26" s="261"/>
      <c r="B26" s="318"/>
      <c r="C26" s="160"/>
      <c r="D26" s="161"/>
      <c r="E26" s="162"/>
      <c r="F26" s="160"/>
      <c r="G26" s="160"/>
      <c r="H26" s="163">
        <f t="shared" si="2"/>
        <v>0</v>
      </c>
      <c r="I26" s="164">
        <f t="shared" si="3"/>
        <v>0</v>
      </c>
    </row>
    <row r="27" spans="1:9" s="144" customFormat="1" ht="18" customHeight="1">
      <c r="A27" s="261"/>
      <c r="B27" s="318"/>
      <c r="C27" s="160"/>
      <c r="D27" s="161"/>
      <c r="E27" s="162"/>
      <c r="F27" s="160"/>
      <c r="G27" s="160"/>
      <c r="H27" s="163">
        <f t="shared" si="2"/>
        <v>0</v>
      </c>
      <c r="I27" s="164">
        <f t="shared" si="3"/>
        <v>0</v>
      </c>
    </row>
    <row r="28" spans="1:9" ht="24" customHeight="1">
      <c r="A28" s="1"/>
      <c r="B28" s="3"/>
      <c r="C28" s="196"/>
      <c r="D28" s="197">
        <f>SUM(D4:D27)</f>
        <v>450</v>
      </c>
      <c r="E28" s="196"/>
      <c r="F28" s="3"/>
      <c r="G28" s="198">
        <f>SUM(G4:G27)</f>
        <v>39</v>
      </c>
      <c r="H28" s="198">
        <f>SUM(H4:H27)</f>
        <v>7510000</v>
      </c>
      <c r="I28" s="19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9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workbookViewId="0" topLeftCell="A1">
      <selection activeCell="A1" sqref="A1:N28"/>
    </sheetView>
  </sheetViews>
  <sheetFormatPr defaultColWidth="9.140625" defaultRowHeight="12.75"/>
  <cols>
    <col min="1" max="1" width="25.140625" style="141" customWidth="1"/>
    <col min="2" max="2" width="7.8515625" style="142" customWidth="1"/>
    <col min="3" max="3" width="8.421875" style="143" customWidth="1"/>
    <col min="4" max="4" width="6.8515625" style="142" customWidth="1"/>
    <col min="5" max="5" width="8.140625" style="142" customWidth="1"/>
    <col min="6" max="6" width="10.140625" style="142" customWidth="1"/>
    <col min="7" max="7" width="9.140625" style="142" customWidth="1"/>
    <col min="8" max="8" width="13.421875" style="142" customWidth="1"/>
    <col min="9" max="9" width="4.8515625" style="11" customWidth="1"/>
    <col min="10" max="10" width="8.421875" style="11" customWidth="1"/>
    <col min="11" max="11" width="7.00390625" style="11" customWidth="1"/>
    <col min="12" max="12" width="7.8515625" style="11" customWidth="1"/>
    <col min="13" max="13" width="7.421875" style="11" customWidth="1"/>
    <col min="14" max="14" width="12.421875" style="11" customWidth="1"/>
    <col min="15" max="15" width="7.421875" style="11" customWidth="1"/>
    <col min="16" max="16384" width="9.140625" style="11" customWidth="1"/>
  </cols>
  <sheetData>
    <row r="1" spans="2:14" s="144" customFormat="1" ht="43.5" customHeight="1">
      <c r="B1" s="419" t="s">
        <v>293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2:14" s="144" customFormat="1" ht="29.25" customHeight="1">
      <c r="B2" s="425" t="s">
        <v>294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4" s="158" customFormat="1" ht="27" customHeight="1">
      <c r="A3" s="147" t="s">
        <v>88</v>
      </c>
      <c r="B3" s="148" t="s">
        <v>89</v>
      </c>
      <c r="C3" s="148" t="s">
        <v>90</v>
      </c>
      <c r="D3" s="148" t="s">
        <v>91</v>
      </c>
      <c r="E3" s="148" t="s">
        <v>92</v>
      </c>
      <c r="F3" s="149" t="s">
        <v>93</v>
      </c>
      <c r="G3" s="150" t="s">
        <v>94</v>
      </c>
      <c r="H3" s="151" t="s">
        <v>95</v>
      </c>
      <c r="I3" s="152"/>
      <c r="J3" s="153" t="s">
        <v>93</v>
      </c>
      <c r="K3" s="154"/>
      <c r="L3" s="155"/>
      <c r="M3" s="156" t="s">
        <v>94</v>
      </c>
      <c r="N3" s="157" t="s">
        <v>96</v>
      </c>
    </row>
    <row r="4" spans="1:14" s="169" customFormat="1" ht="18" customHeight="1">
      <c r="A4" s="278" t="s">
        <v>30</v>
      </c>
      <c r="B4" s="317">
        <v>11.8</v>
      </c>
      <c r="C4" s="161">
        <v>41</v>
      </c>
      <c r="D4" s="161">
        <v>26</v>
      </c>
      <c r="E4" s="162"/>
      <c r="F4" s="160">
        <v>1</v>
      </c>
      <c r="G4" s="160">
        <v>10</v>
      </c>
      <c r="H4" s="163">
        <f aca="true" t="shared" si="0" ref="H4:H11">N4+I4</f>
        <v>1550000</v>
      </c>
      <c r="I4" s="164">
        <f aca="true" t="shared" si="1" ref="I4:I11">IF(E4&gt;0,$N$13,0)+IF(C4&gt;0,50000,0)+IF(C12&lt;0,50000,0)</f>
        <v>50000</v>
      </c>
      <c r="J4" s="165" t="s">
        <v>97</v>
      </c>
      <c r="K4" s="166"/>
      <c r="L4" s="167"/>
      <c r="M4" s="168">
        <v>10</v>
      </c>
      <c r="N4" s="163">
        <f>N12*25%</f>
        <v>1500000</v>
      </c>
    </row>
    <row r="5" spans="1:14" s="169" customFormat="1" ht="18" customHeight="1">
      <c r="A5" s="261" t="s">
        <v>48</v>
      </c>
      <c r="B5" s="318">
        <v>21.1</v>
      </c>
      <c r="C5" s="160">
        <v>37</v>
      </c>
      <c r="D5" s="161">
        <v>35</v>
      </c>
      <c r="E5" s="162"/>
      <c r="F5" s="160">
        <v>2</v>
      </c>
      <c r="G5" s="160">
        <v>8</v>
      </c>
      <c r="H5" s="163">
        <f t="shared" si="0"/>
        <v>1250000</v>
      </c>
      <c r="I5" s="164">
        <f t="shared" si="1"/>
        <v>50000</v>
      </c>
      <c r="J5" s="170" t="s">
        <v>98</v>
      </c>
      <c r="K5" s="171"/>
      <c r="L5" s="172"/>
      <c r="M5" s="173">
        <v>8</v>
      </c>
      <c r="N5" s="163">
        <f>N12*20%</f>
        <v>1200000</v>
      </c>
    </row>
    <row r="6" spans="1:14" s="169" customFormat="1" ht="18" customHeight="1">
      <c r="A6" s="261" t="s">
        <v>32</v>
      </c>
      <c r="B6" s="318">
        <v>12.5</v>
      </c>
      <c r="C6" s="160">
        <v>35</v>
      </c>
      <c r="D6" s="181">
        <v>32</v>
      </c>
      <c r="E6" s="177"/>
      <c r="F6" s="64">
        <v>3</v>
      </c>
      <c r="G6" s="64">
        <v>6</v>
      </c>
      <c r="H6" s="163">
        <f t="shared" si="0"/>
        <v>950000</v>
      </c>
      <c r="I6" s="164">
        <f t="shared" si="1"/>
        <v>50000</v>
      </c>
      <c r="J6" s="170" t="s">
        <v>99</v>
      </c>
      <c r="K6" s="171"/>
      <c r="L6" s="172"/>
      <c r="M6" s="173">
        <v>6</v>
      </c>
      <c r="N6" s="163">
        <f>N12*15%</f>
        <v>900000</v>
      </c>
    </row>
    <row r="7" spans="1:18" s="169" customFormat="1" ht="18" customHeight="1">
      <c r="A7" s="261" t="s">
        <v>50</v>
      </c>
      <c r="B7" s="318">
        <v>7.6</v>
      </c>
      <c r="C7" s="161">
        <v>33</v>
      </c>
      <c r="D7" s="161">
        <v>30</v>
      </c>
      <c r="E7" s="177"/>
      <c r="F7" s="160">
        <v>4</v>
      </c>
      <c r="G7" s="160">
        <v>5</v>
      </c>
      <c r="H7" s="163">
        <f t="shared" si="0"/>
        <v>770000</v>
      </c>
      <c r="I7" s="164">
        <f t="shared" si="1"/>
        <v>50000</v>
      </c>
      <c r="J7" s="170" t="s">
        <v>100</v>
      </c>
      <c r="K7" s="171"/>
      <c r="L7" s="172"/>
      <c r="M7" s="173">
        <v>5</v>
      </c>
      <c r="N7" s="163">
        <f>N12*12%</f>
        <v>720000</v>
      </c>
      <c r="O7" s="175"/>
      <c r="P7" s="175"/>
      <c r="Q7" s="175"/>
      <c r="R7" s="176"/>
    </row>
    <row r="8" spans="1:14" s="169" customFormat="1" ht="18" customHeight="1">
      <c r="A8" s="261" t="s">
        <v>52</v>
      </c>
      <c r="B8" s="318">
        <v>11</v>
      </c>
      <c r="C8" s="160">
        <v>32</v>
      </c>
      <c r="D8" s="161">
        <v>36</v>
      </c>
      <c r="E8" s="162"/>
      <c r="F8" s="160">
        <v>5</v>
      </c>
      <c r="G8" s="160">
        <v>4</v>
      </c>
      <c r="H8" s="163">
        <f t="shared" si="0"/>
        <v>650000</v>
      </c>
      <c r="I8" s="164">
        <f t="shared" si="1"/>
        <v>50000</v>
      </c>
      <c r="J8" s="170" t="s">
        <v>101</v>
      </c>
      <c r="K8" s="171"/>
      <c r="L8" s="172"/>
      <c r="M8" s="173">
        <v>4</v>
      </c>
      <c r="N8" s="163">
        <f>N12*10%</f>
        <v>600000</v>
      </c>
    </row>
    <row r="9" spans="1:14" s="169" customFormat="1" ht="18" customHeight="1">
      <c r="A9" s="261" t="s">
        <v>20</v>
      </c>
      <c r="B9" s="318">
        <v>14.3</v>
      </c>
      <c r="C9" s="160">
        <v>31</v>
      </c>
      <c r="D9" s="181">
        <v>35</v>
      </c>
      <c r="E9" s="162"/>
      <c r="F9" s="178">
        <v>6</v>
      </c>
      <c r="G9" s="178">
        <v>3</v>
      </c>
      <c r="H9" s="163">
        <f t="shared" si="0"/>
        <v>530000</v>
      </c>
      <c r="I9" s="164">
        <f t="shared" si="1"/>
        <v>50000</v>
      </c>
      <c r="J9" s="170" t="s">
        <v>102</v>
      </c>
      <c r="K9" s="171"/>
      <c r="L9" s="172"/>
      <c r="M9" s="173">
        <v>3</v>
      </c>
      <c r="N9" s="163">
        <f>N12*8%</f>
        <v>480000</v>
      </c>
    </row>
    <row r="10" spans="1:14" s="169" customFormat="1" ht="18" customHeight="1">
      <c r="A10" s="261" t="s">
        <v>54</v>
      </c>
      <c r="B10" s="318">
        <v>24.8</v>
      </c>
      <c r="C10" s="160">
        <v>31</v>
      </c>
      <c r="D10" s="181">
        <v>41</v>
      </c>
      <c r="E10" s="162"/>
      <c r="F10" s="160">
        <v>7</v>
      </c>
      <c r="G10" s="160">
        <v>2</v>
      </c>
      <c r="H10" s="163">
        <f t="shared" si="0"/>
        <v>410000</v>
      </c>
      <c r="I10" s="164">
        <f t="shared" si="1"/>
        <v>50000</v>
      </c>
      <c r="J10" s="170" t="s">
        <v>103</v>
      </c>
      <c r="K10" s="171"/>
      <c r="L10" s="172"/>
      <c r="M10" s="173">
        <v>2</v>
      </c>
      <c r="N10" s="163">
        <f>N12*6%</f>
        <v>360000</v>
      </c>
    </row>
    <row r="11" spans="1:14" s="169" customFormat="1" ht="18" customHeight="1">
      <c r="A11" s="261" t="s">
        <v>40</v>
      </c>
      <c r="B11" s="318">
        <v>14.3</v>
      </c>
      <c r="C11" s="161">
        <v>30</v>
      </c>
      <c r="D11" s="181">
        <v>35</v>
      </c>
      <c r="E11" s="177"/>
      <c r="F11" s="160">
        <v>8</v>
      </c>
      <c r="G11" s="160">
        <v>1</v>
      </c>
      <c r="H11" s="163">
        <f t="shared" si="0"/>
        <v>290000</v>
      </c>
      <c r="I11" s="164">
        <f t="shared" si="1"/>
        <v>50000</v>
      </c>
      <c r="J11" s="170" t="s">
        <v>104</v>
      </c>
      <c r="K11" s="171"/>
      <c r="L11" s="172"/>
      <c r="M11" s="173">
        <v>1</v>
      </c>
      <c r="N11" s="163">
        <f>N12*4%</f>
        <v>240000</v>
      </c>
    </row>
    <row r="12" spans="1:14" s="169" customFormat="1" ht="18" customHeight="1">
      <c r="A12" s="261" t="s">
        <v>26</v>
      </c>
      <c r="B12" s="318">
        <v>14.4</v>
      </c>
      <c r="C12" s="161">
        <v>30</v>
      </c>
      <c r="D12" s="181">
        <v>37</v>
      </c>
      <c r="E12" s="177"/>
      <c r="F12" s="160"/>
      <c r="G12" s="160"/>
      <c r="H12" s="163">
        <f aca="true" t="shared" si="2" ref="H12:H27">I12</f>
        <v>50000</v>
      </c>
      <c r="I12" s="164">
        <f aca="true" t="shared" si="3" ref="I12:I27">IF(E12&gt;0,$N$13,0)+IF(C12&gt;0,50000,0)+IF(C12&lt;0,50000,0)</f>
        <v>50000</v>
      </c>
      <c r="J12" s="179" t="s">
        <v>105</v>
      </c>
      <c r="K12" s="171"/>
      <c r="L12" s="172"/>
      <c r="M12" s="173"/>
      <c r="N12" s="180">
        <v>6000000</v>
      </c>
    </row>
    <row r="13" spans="1:14" s="169" customFormat="1" ht="18" customHeight="1">
      <c r="A13" s="261" t="s">
        <v>24</v>
      </c>
      <c r="B13" s="318">
        <v>15</v>
      </c>
      <c r="C13" s="160">
        <v>30</v>
      </c>
      <c r="D13" s="161">
        <v>34</v>
      </c>
      <c r="E13" s="177">
        <v>1.33</v>
      </c>
      <c r="F13" s="160"/>
      <c r="G13" s="160"/>
      <c r="H13" s="163">
        <f t="shared" si="2"/>
        <v>410000</v>
      </c>
      <c r="I13" s="164">
        <f t="shared" si="3"/>
        <v>410000</v>
      </c>
      <c r="J13" s="182" t="s">
        <v>106</v>
      </c>
      <c r="K13" s="183"/>
      <c r="L13" s="184"/>
      <c r="M13" s="185">
        <v>1</v>
      </c>
      <c r="N13" s="186">
        <f>N10</f>
        <v>360000</v>
      </c>
    </row>
    <row r="14" spans="1:14" s="169" customFormat="1" ht="18" customHeight="1">
      <c r="A14" s="261" t="s">
        <v>36</v>
      </c>
      <c r="B14" s="318">
        <v>15.9</v>
      </c>
      <c r="C14" s="64">
        <v>29</v>
      </c>
      <c r="D14" s="181">
        <v>37</v>
      </c>
      <c r="E14" s="162"/>
      <c r="F14" s="160"/>
      <c r="G14" s="160"/>
      <c r="H14" s="163">
        <f t="shared" si="2"/>
        <v>50000</v>
      </c>
      <c r="I14" s="164">
        <f t="shared" si="3"/>
        <v>50000</v>
      </c>
      <c r="J14" s="187"/>
      <c r="K14" s="183"/>
      <c r="L14" s="183"/>
      <c r="M14" s="188"/>
      <c r="N14" s="189"/>
    </row>
    <row r="15" spans="1:14" s="169" customFormat="1" ht="18" customHeight="1">
      <c r="A15" s="261" t="s">
        <v>16</v>
      </c>
      <c r="B15" s="318">
        <v>9.7</v>
      </c>
      <c r="C15" s="160">
        <v>28</v>
      </c>
      <c r="D15" s="161">
        <v>34</v>
      </c>
      <c r="E15" s="162"/>
      <c r="F15" s="160"/>
      <c r="G15" s="160"/>
      <c r="H15" s="163">
        <f t="shared" si="2"/>
        <v>50000</v>
      </c>
      <c r="I15" s="164">
        <f t="shared" si="3"/>
        <v>50000</v>
      </c>
      <c r="J15" s="190"/>
      <c r="K15" s="191"/>
      <c r="L15" s="191"/>
      <c r="M15" s="192"/>
      <c r="N15" s="193"/>
    </row>
    <row r="16" spans="1:9" s="169" customFormat="1" ht="18" customHeight="1">
      <c r="A16" s="261" t="s">
        <v>12</v>
      </c>
      <c r="B16" s="318">
        <v>12.5</v>
      </c>
      <c r="C16" s="160">
        <v>26</v>
      </c>
      <c r="D16" s="161">
        <v>36</v>
      </c>
      <c r="E16" s="162"/>
      <c r="F16" s="64"/>
      <c r="G16" s="64"/>
      <c r="H16" s="163">
        <f t="shared" si="2"/>
        <v>50000</v>
      </c>
      <c r="I16" s="164">
        <f t="shared" si="3"/>
        <v>50000</v>
      </c>
    </row>
    <row r="17" spans="1:18" s="169" customFormat="1" ht="18" customHeight="1">
      <c r="A17" s="261" t="s">
        <v>46</v>
      </c>
      <c r="B17" s="318">
        <v>14.8</v>
      </c>
      <c r="C17" s="160">
        <v>26</v>
      </c>
      <c r="D17" s="161">
        <v>36</v>
      </c>
      <c r="E17" s="162"/>
      <c r="F17" s="64"/>
      <c r="G17" s="64"/>
      <c r="H17" s="163">
        <f t="shared" si="2"/>
        <v>50000</v>
      </c>
      <c r="I17" s="164">
        <f t="shared" si="3"/>
        <v>50000</v>
      </c>
      <c r="O17" s="175"/>
      <c r="P17" s="175"/>
      <c r="Q17" s="175"/>
      <c r="R17" s="176"/>
    </row>
    <row r="18" spans="1:18" s="169" customFormat="1" ht="18" customHeight="1">
      <c r="A18" s="261" t="s">
        <v>44</v>
      </c>
      <c r="B18" s="318">
        <v>17.8</v>
      </c>
      <c r="C18" s="181">
        <v>26</v>
      </c>
      <c r="D18" s="161">
        <v>38</v>
      </c>
      <c r="E18" s="177"/>
      <c r="F18" s="160"/>
      <c r="G18" s="160"/>
      <c r="H18" s="163">
        <f t="shared" si="2"/>
        <v>50000</v>
      </c>
      <c r="I18" s="164">
        <f t="shared" si="3"/>
        <v>50000</v>
      </c>
      <c r="J18" s="64" t="s">
        <v>113</v>
      </c>
      <c r="K18" s="64" t="s">
        <v>94</v>
      </c>
      <c r="L18" s="64"/>
      <c r="M18" s="64" t="s">
        <v>114</v>
      </c>
      <c r="N18" s="64"/>
      <c r="O18" s="176"/>
      <c r="P18" s="176"/>
      <c r="Q18" s="176"/>
      <c r="R18" s="176"/>
    </row>
    <row r="19" spans="1:18" s="169" customFormat="1" ht="18" customHeight="1">
      <c r="A19" s="261" t="s">
        <v>56</v>
      </c>
      <c r="B19" s="318">
        <v>13.9</v>
      </c>
      <c r="C19" s="161">
        <v>24</v>
      </c>
      <c r="D19" s="161">
        <v>35</v>
      </c>
      <c r="E19" s="162"/>
      <c r="F19" s="160"/>
      <c r="G19" s="160"/>
      <c r="H19" s="163">
        <f t="shared" si="2"/>
        <v>50000</v>
      </c>
      <c r="I19" s="164">
        <f t="shared" si="3"/>
        <v>50000</v>
      </c>
      <c r="J19" s="64">
        <v>1</v>
      </c>
      <c r="K19" s="64" t="s">
        <v>115</v>
      </c>
      <c r="L19" s="64">
        <v>10</v>
      </c>
      <c r="M19" s="163" t="s">
        <v>115</v>
      </c>
      <c r="N19" s="163">
        <f>N14*20%</f>
        <v>0</v>
      </c>
      <c r="O19" s="176"/>
      <c r="P19" s="176"/>
      <c r="Q19" s="176"/>
      <c r="R19" s="176"/>
    </row>
    <row r="20" spans="1:14" s="144" customFormat="1" ht="18" customHeight="1">
      <c r="A20" s="261" t="s">
        <v>18</v>
      </c>
      <c r="B20" s="318">
        <v>18</v>
      </c>
      <c r="C20" s="160">
        <v>22</v>
      </c>
      <c r="D20" s="161">
        <v>36</v>
      </c>
      <c r="E20" s="162"/>
      <c r="F20" s="64"/>
      <c r="G20" s="64"/>
      <c r="H20" s="163">
        <f t="shared" si="2"/>
        <v>50000</v>
      </c>
      <c r="I20" s="164">
        <f t="shared" si="3"/>
        <v>50000</v>
      </c>
      <c r="J20" s="64">
        <v>2</v>
      </c>
      <c r="K20" s="64" t="s">
        <v>115</v>
      </c>
      <c r="L20" s="64">
        <v>6</v>
      </c>
      <c r="M20" s="163" t="s">
        <v>115</v>
      </c>
      <c r="N20" s="163">
        <f>N14*15%</f>
        <v>0</v>
      </c>
    </row>
    <row r="21" spans="1:14" s="144" customFormat="1" ht="18" customHeight="1">
      <c r="A21" s="261"/>
      <c r="B21" s="318"/>
      <c r="C21" s="64"/>
      <c r="D21" s="161"/>
      <c r="E21" s="162"/>
      <c r="F21" s="64"/>
      <c r="G21" s="64"/>
      <c r="H21" s="163">
        <f t="shared" si="2"/>
        <v>0</v>
      </c>
      <c r="I21" s="164">
        <f t="shared" si="3"/>
        <v>0</v>
      </c>
      <c r="J21" s="64">
        <v>3</v>
      </c>
      <c r="K21" s="64" t="s">
        <v>115</v>
      </c>
      <c r="L21" s="64">
        <v>4</v>
      </c>
      <c r="M21" s="163" t="s">
        <v>115</v>
      </c>
      <c r="N21" s="163">
        <f>N14*10%</f>
        <v>0</v>
      </c>
    </row>
    <row r="22" spans="1:14" s="144" customFormat="1" ht="18" customHeight="1">
      <c r="A22" s="261"/>
      <c r="B22" s="318"/>
      <c r="C22" s="160"/>
      <c r="D22" s="161"/>
      <c r="E22" s="177"/>
      <c r="F22" s="64"/>
      <c r="G22" s="64"/>
      <c r="H22" s="163">
        <f t="shared" si="2"/>
        <v>0</v>
      </c>
      <c r="I22" s="164">
        <f t="shared" si="3"/>
        <v>0</v>
      </c>
      <c r="J22" s="64">
        <v>4</v>
      </c>
      <c r="K22" s="64" t="s">
        <v>115</v>
      </c>
      <c r="L22" s="64">
        <v>2</v>
      </c>
      <c r="M22" s="163" t="s">
        <v>115</v>
      </c>
      <c r="N22" s="163">
        <f>N14*5%</f>
        <v>0</v>
      </c>
    </row>
    <row r="23" spans="1:14" s="144" customFormat="1" ht="18" customHeight="1">
      <c r="A23" s="261"/>
      <c r="B23" s="318"/>
      <c r="C23" s="160"/>
      <c r="D23" s="161"/>
      <c r="E23" s="162"/>
      <c r="F23" s="64"/>
      <c r="G23" s="64"/>
      <c r="H23" s="163">
        <f t="shared" si="2"/>
        <v>0</v>
      </c>
      <c r="I23" s="164">
        <f t="shared" si="3"/>
        <v>0</v>
      </c>
      <c r="L23" s="204"/>
      <c r="M23" s="205"/>
      <c r="N23" s="205"/>
    </row>
    <row r="24" spans="1:14" s="144" customFormat="1" ht="18" customHeight="1">
      <c r="A24" s="261"/>
      <c r="B24" s="318"/>
      <c r="C24" s="160"/>
      <c r="D24" s="181"/>
      <c r="E24" s="177"/>
      <c r="F24" s="64"/>
      <c r="G24" s="64"/>
      <c r="H24" s="163">
        <f t="shared" si="2"/>
        <v>0</v>
      </c>
      <c r="I24" s="164">
        <f t="shared" si="3"/>
        <v>0</v>
      </c>
      <c r="L24" s="204"/>
      <c r="M24" s="205"/>
      <c r="N24" s="205"/>
    </row>
    <row r="25" spans="1:14" s="144" customFormat="1" ht="18" customHeight="1">
      <c r="A25" s="261"/>
      <c r="B25" s="318"/>
      <c r="C25" s="161"/>
      <c r="D25" s="161"/>
      <c r="E25" s="162"/>
      <c r="F25" s="64"/>
      <c r="G25" s="64"/>
      <c r="H25" s="163">
        <f t="shared" si="2"/>
        <v>0</v>
      </c>
      <c r="I25" s="164">
        <f t="shared" si="3"/>
        <v>0</v>
      </c>
      <c r="J25" s="64" t="s">
        <v>116</v>
      </c>
      <c r="K25" s="64" t="s">
        <v>94</v>
      </c>
      <c r="L25" s="64"/>
      <c r="M25" s="163" t="s">
        <v>114</v>
      </c>
      <c r="N25" s="163"/>
    </row>
    <row r="26" spans="1:14" s="144" customFormat="1" ht="18" customHeight="1">
      <c r="A26" s="261"/>
      <c r="B26" s="318"/>
      <c r="C26" s="160"/>
      <c r="D26" s="161"/>
      <c r="E26" s="162"/>
      <c r="F26" s="160"/>
      <c r="G26" s="160"/>
      <c r="H26" s="163">
        <f t="shared" si="2"/>
        <v>0</v>
      </c>
      <c r="I26" s="164">
        <f t="shared" si="3"/>
        <v>0</v>
      </c>
      <c r="J26" s="64">
        <v>1</v>
      </c>
      <c r="K26" s="64" t="s">
        <v>125</v>
      </c>
      <c r="L26" s="64">
        <v>10</v>
      </c>
      <c r="M26" s="163" t="s">
        <v>125</v>
      </c>
      <c r="N26" s="163">
        <f>N6*67%</f>
        <v>603000</v>
      </c>
    </row>
    <row r="27" spans="1:14" s="144" customFormat="1" ht="18" customHeight="1">
      <c r="A27" s="261"/>
      <c r="B27" s="318"/>
      <c r="C27" s="160"/>
      <c r="D27" s="181"/>
      <c r="E27" s="162"/>
      <c r="F27" s="160"/>
      <c r="G27" s="160"/>
      <c r="H27" s="163">
        <f t="shared" si="2"/>
        <v>0</v>
      </c>
      <c r="I27" s="164">
        <f t="shared" si="3"/>
        <v>0</v>
      </c>
      <c r="J27" s="64">
        <v>2</v>
      </c>
      <c r="K27" s="64" t="s">
        <v>117</v>
      </c>
      <c r="L27" s="64">
        <v>5</v>
      </c>
      <c r="M27" s="163" t="s">
        <v>117</v>
      </c>
      <c r="N27" s="163">
        <f>N6*33%</f>
        <v>297000</v>
      </c>
    </row>
    <row r="28" spans="1:9" ht="24" customHeight="1">
      <c r="A28" s="1"/>
      <c r="B28" s="3"/>
      <c r="C28" s="196"/>
      <c r="D28" s="197">
        <f>SUM(D4:D27)</f>
        <v>593</v>
      </c>
      <c r="E28" s="196"/>
      <c r="F28" s="3"/>
      <c r="G28" s="198">
        <f>SUM(G4:G27)</f>
        <v>39</v>
      </c>
      <c r="H28" s="198">
        <f>SUM(H4:H27)</f>
        <v>7210000</v>
      </c>
      <c r="I28" s="19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9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workbookViewId="0" topLeftCell="A1">
      <selection activeCell="A1" sqref="A1:N28"/>
    </sheetView>
  </sheetViews>
  <sheetFormatPr defaultColWidth="9.140625" defaultRowHeight="12.75"/>
  <cols>
    <col min="1" max="1" width="25.140625" style="141" customWidth="1"/>
    <col min="2" max="2" width="7.8515625" style="142" customWidth="1"/>
    <col min="3" max="3" width="8.421875" style="143" customWidth="1"/>
    <col min="4" max="4" width="6.8515625" style="142" customWidth="1"/>
    <col min="5" max="5" width="8.140625" style="142" customWidth="1"/>
    <col min="6" max="6" width="10.140625" style="142" customWidth="1"/>
    <col min="7" max="7" width="9.140625" style="142" customWidth="1"/>
    <col min="8" max="8" width="13.421875" style="142" customWidth="1"/>
    <col min="9" max="9" width="4.8515625" style="11" customWidth="1"/>
    <col min="10" max="10" width="8.421875" style="11" customWidth="1"/>
    <col min="11" max="11" width="7.00390625" style="11" customWidth="1"/>
    <col min="12" max="12" width="7.8515625" style="11" customWidth="1"/>
    <col min="13" max="13" width="7.421875" style="11" customWidth="1"/>
    <col min="14" max="14" width="12.421875" style="11" customWidth="1"/>
    <col min="15" max="15" width="7.421875" style="11" customWidth="1"/>
    <col min="16" max="16384" width="9.140625" style="11" customWidth="1"/>
  </cols>
  <sheetData>
    <row r="1" spans="2:14" s="144" customFormat="1" ht="43.5" customHeight="1">
      <c r="B1" s="419" t="s">
        <v>134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2:14" s="144" customFormat="1" ht="29.25" customHeight="1">
      <c r="B2" s="425" t="s">
        <v>289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4" s="158" customFormat="1" ht="27" customHeight="1">
      <c r="A3" s="147" t="s">
        <v>88</v>
      </c>
      <c r="B3" s="148" t="s">
        <v>89</v>
      </c>
      <c r="C3" s="148" t="s">
        <v>94</v>
      </c>
      <c r="D3" s="148" t="s">
        <v>91</v>
      </c>
      <c r="E3" s="148" t="s">
        <v>92</v>
      </c>
      <c r="F3" s="149" t="s">
        <v>93</v>
      </c>
      <c r="G3" s="150" t="s">
        <v>94</v>
      </c>
      <c r="H3" s="151" t="s">
        <v>95</v>
      </c>
      <c r="I3" s="152"/>
      <c r="J3" s="153" t="s">
        <v>93</v>
      </c>
      <c r="K3" s="154"/>
      <c r="L3" s="155"/>
      <c r="M3" s="156" t="s">
        <v>94</v>
      </c>
      <c r="N3" s="157" t="s">
        <v>96</v>
      </c>
    </row>
    <row r="4" spans="1:14" s="169" customFormat="1" ht="18" customHeight="1">
      <c r="A4" s="278" t="s">
        <v>30</v>
      </c>
      <c r="B4" s="317">
        <v>11.8</v>
      </c>
      <c r="C4" s="160">
        <v>34</v>
      </c>
      <c r="D4" s="181">
        <v>32</v>
      </c>
      <c r="E4" s="177"/>
      <c r="F4" s="160">
        <v>1</v>
      </c>
      <c r="G4" s="160">
        <v>10</v>
      </c>
      <c r="H4" s="163">
        <f>N4+I4</f>
        <v>1300000</v>
      </c>
      <c r="I4" s="164">
        <f>2*IF(E4&gt;0,$N$13,0)+IF(C4&gt;0,50000,0)+IF(C12&lt;0,50000,0)</f>
        <v>50000</v>
      </c>
      <c r="J4" s="165" t="s">
        <v>97</v>
      </c>
      <c r="K4" s="166"/>
      <c r="L4" s="167"/>
      <c r="M4" s="168">
        <v>10</v>
      </c>
      <c r="N4" s="163">
        <f>N12*25%</f>
        <v>1250000</v>
      </c>
    </row>
    <row r="5" spans="1:14" s="169" customFormat="1" ht="18" customHeight="1">
      <c r="A5" s="261" t="s">
        <v>52</v>
      </c>
      <c r="B5" s="318">
        <v>10.7</v>
      </c>
      <c r="C5" s="160">
        <v>33</v>
      </c>
      <c r="D5" s="181">
        <v>33</v>
      </c>
      <c r="E5" s="177" t="s">
        <v>290</v>
      </c>
      <c r="F5" s="160">
        <v>2</v>
      </c>
      <c r="G5" s="160">
        <v>8</v>
      </c>
      <c r="H5" s="163">
        <v>1950000</v>
      </c>
      <c r="I5" s="164">
        <f aca="true" t="shared" si="0" ref="I5:I11">IF(E5&gt;0,$N$13,0)+IF(C5&gt;0,50000,0)+IF(C13&lt;0,50000,0)</f>
        <v>350000</v>
      </c>
      <c r="J5" s="170" t="s">
        <v>98</v>
      </c>
      <c r="K5" s="171"/>
      <c r="L5" s="172"/>
      <c r="M5" s="173">
        <v>8</v>
      </c>
      <c r="N5" s="163">
        <f>N12*20%</f>
        <v>1000000</v>
      </c>
    </row>
    <row r="6" spans="1:14" s="169" customFormat="1" ht="18" customHeight="1">
      <c r="A6" s="261" t="s">
        <v>58</v>
      </c>
      <c r="B6" s="318">
        <v>20.7</v>
      </c>
      <c r="C6" s="160">
        <v>30</v>
      </c>
      <c r="D6" s="161">
        <v>35</v>
      </c>
      <c r="E6" s="162"/>
      <c r="F6" s="64">
        <v>3</v>
      </c>
      <c r="G6" s="64">
        <v>6</v>
      </c>
      <c r="H6" s="163">
        <f aca="true" t="shared" si="1" ref="H6:H11">N6+I6</f>
        <v>800000</v>
      </c>
      <c r="I6" s="164">
        <f t="shared" si="0"/>
        <v>50000</v>
      </c>
      <c r="J6" s="170" t="s">
        <v>99</v>
      </c>
      <c r="K6" s="171"/>
      <c r="L6" s="172"/>
      <c r="M6" s="173">
        <v>6</v>
      </c>
      <c r="N6" s="163">
        <f>N12*15%</f>
        <v>750000</v>
      </c>
    </row>
    <row r="7" spans="1:18" s="169" customFormat="1" ht="18" customHeight="1">
      <c r="A7" s="261" t="s">
        <v>48</v>
      </c>
      <c r="B7" s="318">
        <v>21</v>
      </c>
      <c r="C7" s="161">
        <v>30</v>
      </c>
      <c r="D7" s="161">
        <v>39</v>
      </c>
      <c r="E7" s="162"/>
      <c r="F7" s="160">
        <v>4</v>
      </c>
      <c r="G7" s="160">
        <v>5</v>
      </c>
      <c r="H7" s="163">
        <f t="shared" si="1"/>
        <v>650000</v>
      </c>
      <c r="I7" s="164">
        <f t="shared" si="0"/>
        <v>50000</v>
      </c>
      <c r="J7" s="170" t="s">
        <v>100</v>
      </c>
      <c r="K7" s="171"/>
      <c r="L7" s="172"/>
      <c r="M7" s="173">
        <v>5</v>
      </c>
      <c r="N7" s="163">
        <f>N12*12%</f>
        <v>600000</v>
      </c>
      <c r="O7" s="175"/>
      <c r="P7" s="175"/>
      <c r="Q7" s="175"/>
      <c r="R7" s="176"/>
    </row>
    <row r="8" spans="1:14" s="169" customFormat="1" ht="18" customHeight="1">
      <c r="A8" s="261" t="s">
        <v>50</v>
      </c>
      <c r="B8" s="318">
        <v>7.5</v>
      </c>
      <c r="C8" s="160">
        <v>29</v>
      </c>
      <c r="D8" s="181">
        <v>31</v>
      </c>
      <c r="E8" s="177"/>
      <c r="F8" s="160">
        <v>5</v>
      </c>
      <c r="G8" s="160">
        <v>4</v>
      </c>
      <c r="H8" s="163">
        <f t="shared" si="1"/>
        <v>550000</v>
      </c>
      <c r="I8" s="164">
        <f t="shared" si="0"/>
        <v>50000</v>
      </c>
      <c r="J8" s="170" t="s">
        <v>101</v>
      </c>
      <c r="K8" s="171"/>
      <c r="L8" s="172"/>
      <c r="M8" s="173">
        <v>4</v>
      </c>
      <c r="N8" s="163">
        <f>N12*10%</f>
        <v>500000</v>
      </c>
    </row>
    <row r="9" spans="1:14" s="169" customFormat="1" ht="18" customHeight="1">
      <c r="A9" s="261" t="s">
        <v>10</v>
      </c>
      <c r="B9" s="318">
        <v>22.8</v>
      </c>
      <c r="C9" s="160">
        <v>28</v>
      </c>
      <c r="D9" s="161">
        <v>40</v>
      </c>
      <c r="E9" s="162"/>
      <c r="F9" s="178">
        <v>6</v>
      </c>
      <c r="G9" s="178">
        <v>3</v>
      </c>
      <c r="H9" s="163">
        <f t="shared" si="1"/>
        <v>450000</v>
      </c>
      <c r="I9" s="164">
        <f>IF(E9&gt;0,$N$13,0)+IF(C9&gt;0,50000,0)+IF(C17&lt;0,50000,0)</f>
        <v>50000</v>
      </c>
      <c r="J9" s="170" t="s">
        <v>102</v>
      </c>
      <c r="K9" s="171"/>
      <c r="L9" s="172"/>
      <c r="M9" s="173">
        <v>3</v>
      </c>
      <c r="N9" s="163">
        <f>N12*8%</f>
        <v>400000</v>
      </c>
    </row>
    <row r="10" spans="1:14" s="169" customFormat="1" ht="18" customHeight="1">
      <c r="A10" s="261" t="s">
        <v>32</v>
      </c>
      <c r="B10" s="318">
        <v>12.4</v>
      </c>
      <c r="C10" s="160">
        <v>26</v>
      </c>
      <c r="D10" s="161">
        <v>34</v>
      </c>
      <c r="E10" s="162"/>
      <c r="F10" s="160">
        <v>7</v>
      </c>
      <c r="G10" s="160">
        <v>2</v>
      </c>
      <c r="H10" s="163">
        <f t="shared" si="1"/>
        <v>350000</v>
      </c>
      <c r="I10" s="164">
        <f>IF(E10&gt;0,$N$13,0)+IF(C10&gt;0,50000,0)+IF(C18&lt;0,50000,0)</f>
        <v>50000</v>
      </c>
      <c r="J10" s="170" t="s">
        <v>103</v>
      </c>
      <c r="K10" s="171"/>
      <c r="L10" s="172"/>
      <c r="M10" s="173">
        <v>2</v>
      </c>
      <c r="N10" s="163">
        <f>N12*6%</f>
        <v>300000</v>
      </c>
    </row>
    <row r="11" spans="1:14" s="169" customFormat="1" ht="18" customHeight="1">
      <c r="A11" s="261" t="s">
        <v>36</v>
      </c>
      <c r="B11" s="318">
        <v>15.8</v>
      </c>
      <c r="C11" s="160">
        <v>26</v>
      </c>
      <c r="D11" s="161">
        <v>37</v>
      </c>
      <c r="E11" s="162">
        <v>0.73</v>
      </c>
      <c r="F11" s="160">
        <v>8</v>
      </c>
      <c r="G11" s="160">
        <v>1</v>
      </c>
      <c r="H11" s="163">
        <f t="shared" si="1"/>
        <v>550000</v>
      </c>
      <c r="I11" s="164">
        <f t="shared" si="0"/>
        <v>350000</v>
      </c>
      <c r="J11" s="170" t="s">
        <v>104</v>
      </c>
      <c r="K11" s="171"/>
      <c r="L11" s="172"/>
      <c r="M11" s="173">
        <v>1</v>
      </c>
      <c r="N11" s="163">
        <f>N12*4%</f>
        <v>200000</v>
      </c>
    </row>
    <row r="12" spans="1:14" s="169" customFormat="1" ht="18" customHeight="1">
      <c r="A12" s="261" t="s">
        <v>12</v>
      </c>
      <c r="B12" s="318">
        <v>12.4</v>
      </c>
      <c r="C12" s="64">
        <v>25</v>
      </c>
      <c r="D12" s="161">
        <v>37</v>
      </c>
      <c r="E12" s="162"/>
      <c r="F12" s="160"/>
      <c r="G12" s="160"/>
      <c r="H12" s="163">
        <f>I12</f>
        <v>50000</v>
      </c>
      <c r="I12" s="164">
        <f>IF(E12&gt;0,$N$13,0)+IF(C12&gt;0,50000,0)+IF(C12&lt;0,50000,0)</f>
        <v>50000</v>
      </c>
      <c r="J12" s="179" t="s">
        <v>105</v>
      </c>
      <c r="K12" s="171"/>
      <c r="L12" s="172"/>
      <c r="M12" s="173"/>
      <c r="N12" s="180">
        <v>5000000</v>
      </c>
    </row>
    <row r="13" spans="1:14" s="169" customFormat="1" ht="18" customHeight="1">
      <c r="A13" s="261" t="s">
        <v>20</v>
      </c>
      <c r="B13" s="318">
        <v>14.2</v>
      </c>
      <c r="C13" s="161">
        <v>25</v>
      </c>
      <c r="D13" s="181">
        <v>36</v>
      </c>
      <c r="E13" s="177"/>
      <c r="F13" s="160"/>
      <c r="G13" s="160"/>
      <c r="H13" s="163">
        <f aca="true" t="shared" si="2" ref="H13:H27">I13</f>
        <v>50000</v>
      </c>
      <c r="I13" s="164">
        <f aca="true" t="shared" si="3" ref="I13:I27">IF(E13&gt;0,$N$13,0)+IF(C13&gt;0,50000,0)+IF(C13&lt;0,50000,0)</f>
        <v>50000</v>
      </c>
      <c r="J13" s="182" t="s">
        <v>106</v>
      </c>
      <c r="K13" s="183"/>
      <c r="L13" s="184"/>
      <c r="M13" s="185">
        <v>1</v>
      </c>
      <c r="N13" s="186">
        <f>N10</f>
        <v>300000</v>
      </c>
    </row>
    <row r="14" spans="1:14" s="169" customFormat="1" ht="18" customHeight="1">
      <c r="A14" s="261" t="s">
        <v>40</v>
      </c>
      <c r="B14" s="318">
        <v>14.5</v>
      </c>
      <c r="C14" s="161">
        <v>25</v>
      </c>
      <c r="D14" s="161">
        <v>39</v>
      </c>
      <c r="E14" s="162">
        <v>10.08</v>
      </c>
      <c r="F14" s="160"/>
      <c r="G14" s="160"/>
      <c r="H14" s="163">
        <f t="shared" si="2"/>
        <v>350000</v>
      </c>
      <c r="I14" s="164">
        <f t="shared" si="3"/>
        <v>350000</v>
      </c>
      <c r="J14" s="187"/>
      <c r="K14" s="183"/>
      <c r="L14" s="183"/>
      <c r="M14" s="188"/>
      <c r="N14" s="189"/>
    </row>
    <row r="15" spans="1:14" s="169" customFormat="1" ht="18" customHeight="1">
      <c r="A15" s="261" t="s">
        <v>24</v>
      </c>
      <c r="B15" s="318">
        <v>14.9</v>
      </c>
      <c r="C15" s="160">
        <v>25</v>
      </c>
      <c r="D15" s="161">
        <v>36</v>
      </c>
      <c r="E15" s="162"/>
      <c r="F15" s="160"/>
      <c r="G15" s="160"/>
      <c r="H15" s="163">
        <f t="shared" si="2"/>
        <v>50000</v>
      </c>
      <c r="I15" s="164">
        <f t="shared" si="3"/>
        <v>50000</v>
      </c>
      <c r="J15" s="190"/>
      <c r="K15" s="191"/>
      <c r="L15" s="191"/>
      <c r="M15" s="192"/>
      <c r="N15" s="193"/>
    </row>
    <row r="16" spans="1:9" s="169" customFormat="1" ht="18" customHeight="1">
      <c r="A16" s="261" t="s">
        <v>44</v>
      </c>
      <c r="B16" s="318">
        <v>17.7</v>
      </c>
      <c r="C16" s="160">
        <v>25</v>
      </c>
      <c r="D16" s="181">
        <v>39</v>
      </c>
      <c r="E16" s="162"/>
      <c r="F16" s="64"/>
      <c r="G16" s="64"/>
      <c r="H16" s="163">
        <f t="shared" si="2"/>
        <v>50000</v>
      </c>
      <c r="I16" s="164">
        <f t="shared" si="3"/>
        <v>50000</v>
      </c>
    </row>
    <row r="17" spans="1:18" s="169" customFormat="1" ht="18" customHeight="1">
      <c r="A17" s="261" t="s">
        <v>14</v>
      </c>
      <c r="B17" s="318">
        <v>18.4</v>
      </c>
      <c r="C17" s="160">
        <v>25</v>
      </c>
      <c r="D17" s="161">
        <v>34</v>
      </c>
      <c r="E17" s="162"/>
      <c r="F17" s="64"/>
      <c r="G17" s="64"/>
      <c r="H17" s="163">
        <f t="shared" si="2"/>
        <v>50000</v>
      </c>
      <c r="I17" s="164">
        <f t="shared" si="3"/>
        <v>50000</v>
      </c>
      <c r="O17" s="175"/>
      <c r="P17" s="175"/>
      <c r="Q17" s="175"/>
      <c r="R17" s="176"/>
    </row>
    <row r="18" spans="1:13" s="169" customFormat="1" ht="18" customHeight="1">
      <c r="A18" s="261" t="s">
        <v>56</v>
      </c>
      <c r="B18" s="318">
        <v>13.8</v>
      </c>
      <c r="C18" s="160">
        <v>24</v>
      </c>
      <c r="D18" s="161">
        <v>33</v>
      </c>
      <c r="E18" s="162"/>
      <c r="F18" s="160"/>
      <c r="G18" s="160"/>
      <c r="H18" s="163">
        <f t="shared" si="2"/>
        <v>50000</v>
      </c>
      <c r="I18" s="164">
        <f t="shared" si="3"/>
        <v>50000</v>
      </c>
      <c r="J18" s="176"/>
      <c r="K18" s="176"/>
      <c r="L18" s="176"/>
      <c r="M18" s="176"/>
    </row>
    <row r="19" spans="1:13" s="169" customFormat="1" ht="18" customHeight="1">
      <c r="A19" s="261" t="s">
        <v>18</v>
      </c>
      <c r="B19" s="318">
        <v>18</v>
      </c>
      <c r="C19" s="181">
        <v>24</v>
      </c>
      <c r="D19" s="161">
        <v>39</v>
      </c>
      <c r="E19" s="162"/>
      <c r="F19" s="160"/>
      <c r="G19" s="160"/>
      <c r="H19" s="163">
        <f t="shared" si="2"/>
        <v>50000</v>
      </c>
      <c r="I19" s="164">
        <f t="shared" si="3"/>
        <v>50000</v>
      </c>
      <c r="J19" s="176"/>
      <c r="K19" s="176"/>
      <c r="L19" s="176"/>
      <c r="M19" s="176"/>
    </row>
    <row r="20" spans="1:9" s="144" customFormat="1" ht="18" customHeight="1">
      <c r="A20" s="261" t="s">
        <v>16</v>
      </c>
      <c r="B20" s="318">
        <v>9.6</v>
      </c>
      <c r="C20" s="64">
        <v>22</v>
      </c>
      <c r="D20" s="181">
        <v>37</v>
      </c>
      <c r="E20" s="177">
        <v>1.95</v>
      </c>
      <c r="F20" s="64"/>
      <c r="G20" s="64"/>
      <c r="H20" s="163">
        <f t="shared" si="2"/>
        <v>350000</v>
      </c>
      <c r="I20" s="164">
        <f t="shared" si="3"/>
        <v>350000</v>
      </c>
    </row>
    <row r="21" spans="1:9" s="144" customFormat="1" ht="18" customHeight="1">
      <c r="A21" s="261" t="s">
        <v>54</v>
      </c>
      <c r="B21" s="318">
        <v>24.7</v>
      </c>
      <c r="C21" s="161">
        <v>18</v>
      </c>
      <c r="D21" s="161">
        <v>43</v>
      </c>
      <c r="E21" s="162"/>
      <c r="F21" s="64"/>
      <c r="G21" s="64"/>
      <c r="H21" s="163">
        <f t="shared" si="2"/>
        <v>50000</v>
      </c>
      <c r="I21" s="164">
        <f t="shared" si="3"/>
        <v>50000</v>
      </c>
    </row>
    <row r="22" spans="1:9" s="144" customFormat="1" ht="18" customHeight="1">
      <c r="A22" s="261"/>
      <c r="B22" s="318"/>
      <c r="C22" s="160"/>
      <c r="D22" s="181"/>
      <c r="E22" s="177"/>
      <c r="F22" s="64"/>
      <c r="G22" s="64"/>
      <c r="H22" s="163">
        <f t="shared" si="2"/>
        <v>0</v>
      </c>
      <c r="I22" s="164">
        <f t="shared" si="3"/>
        <v>0</v>
      </c>
    </row>
    <row r="23" spans="1:9" s="144" customFormat="1" ht="18" customHeight="1">
      <c r="A23" s="261"/>
      <c r="B23" s="318"/>
      <c r="C23" s="160"/>
      <c r="D23" s="161"/>
      <c r="E23" s="162"/>
      <c r="F23" s="64"/>
      <c r="G23" s="64"/>
      <c r="H23" s="163">
        <f t="shared" si="2"/>
        <v>0</v>
      </c>
      <c r="I23" s="164">
        <f t="shared" si="3"/>
        <v>0</v>
      </c>
    </row>
    <row r="24" spans="1:9" s="144" customFormat="1" ht="18" customHeight="1">
      <c r="A24" s="261"/>
      <c r="B24" s="318"/>
      <c r="C24" s="160"/>
      <c r="D24" s="161"/>
      <c r="E24" s="162"/>
      <c r="F24" s="64"/>
      <c r="G24" s="64"/>
      <c r="H24" s="163">
        <f t="shared" si="2"/>
        <v>0</v>
      </c>
      <c r="I24" s="164">
        <f t="shared" si="3"/>
        <v>0</v>
      </c>
    </row>
    <row r="25" spans="1:9" s="144" customFormat="1" ht="18" customHeight="1">
      <c r="A25" s="261"/>
      <c r="B25" s="318"/>
      <c r="C25" s="160"/>
      <c r="D25" s="161"/>
      <c r="E25" s="162"/>
      <c r="F25" s="64"/>
      <c r="G25" s="64"/>
      <c r="H25" s="163">
        <f t="shared" si="2"/>
        <v>0</v>
      </c>
      <c r="I25" s="164">
        <f t="shared" si="3"/>
        <v>0</v>
      </c>
    </row>
    <row r="26" spans="1:9" s="144" customFormat="1" ht="18" customHeight="1">
      <c r="A26" s="261"/>
      <c r="B26" s="318"/>
      <c r="C26" s="161"/>
      <c r="D26" s="161"/>
      <c r="E26" s="162"/>
      <c r="F26" s="160"/>
      <c r="G26" s="160"/>
      <c r="H26" s="163">
        <f t="shared" si="2"/>
        <v>0</v>
      </c>
      <c r="I26" s="164">
        <f t="shared" si="3"/>
        <v>0</v>
      </c>
    </row>
    <row r="27" spans="1:9" s="144" customFormat="1" ht="18" customHeight="1">
      <c r="A27" s="261"/>
      <c r="B27" s="318"/>
      <c r="C27" s="161"/>
      <c r="D27" s="181"/>
      <c r="E27" s="177"/>
      <c r="F27" s="160"/>
      <c r="G27" s="160"/>
      <c r="H27" s="163">
        <f t="shared" si="2"/>
        <v>0</v>
      </c>
      <c r="I27" s="164">
        <f t="shared" si="3"/>
        <v>0</v>
      </c>
    </row>
    <row r="28" spans="1:9" ht="18" customHeight="1">
      <c r="A28" s="1"/>
      <c r="B28" s="3"/>
      <c r="C28" s="196"/>
      <c r="D28" s="197">
        <f>SUM(D4:D27)</f>
        <v>654</v>
      </c>
      <c r="E28" s="196"/>
      <c r="F28" s="3"/>
      <c r="G28" s="198">
        <f>SUM(G4:G27)</f>
        <v>39</v>
      </c>
      <c r="H28" s="198">
        <f>SUM(H4:H27)</f>
        <v>7700000</v>
      </c>
      <c r="I28" s="19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9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workbookViewId="0" topLeftCell="A2">
      <selection activeCell="N36" sqref="N36"/>
    </sheetView>
  </sheetViews>
  <sheetFormatPr defaultColWidth="9.140625" defaultRowHeight="12.75"/>
  <cols>
    <col min="1" max="1" width="25.140625" style="141" customWidth="1"/>
    <col min="2" max="2" width="7.8515625" style="142" customWidth="1"/>
    <col min="3" max="3" width="8.421875" style="143" customWidth="1"/>
    <col min="4" max="4" width="6.8515625" style="142" customWidth="1"/>
    <col min="5" max="5" width="8.140625" style="142" customWidth="1"/>
    <col min="6" max="6" width="10.140625" style="142" customWidth="1"/>
    <col min="7" max="7" width="9.140625" style="142" customWidth="1"/>
    <col min="8" max="8" width="13.421875" style="142" customWidth="1"/>
    <col min="9" max="9" width="4.8515625" style="11" customWidth="1"/>
    <col min="10" max="10" width="8.421875" style="11" customWidth="1"/>
    <col min="11" max="11" width="7.00390625" style="11" customWidth="1"/>
    <col min="12" max="12" width="7.8515625" style="11" customWidth="1"/>
    <col min="13" max="13" width="7.421875" style="11" customWidth="1"/>
    <col min="14" max="14" width="12.421875" style="11" customWidth="1"/>
    <col min="15" max="15" width="7.421875" style="11" customWidth="1"/>
    <col min="16" max="16384" width="9.140625" style="11" customWidth="1"/>
  </cols>
  <sheetData>
    <row r="1" spans="2:14" s="144" customFormat="1" ht="43.5" customHeight="1">
      <c r="B1" s="419" t="s">
        <v>134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2:14" s="144" customFormat="1" ht="29.25" customHeight="1">
      <c r="B2" s="425" t="s">
        <v>292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4" s="158" customFormat="1" ht="27" customHeight="1">
      <c r="A3" s="147" t="s">
        <v>88</v>
      </c>
      <c r="B3" s="148" t="s">
        <v>89</v>
      </c>
      <c r="C3" s="148" t="s">
        <v>121</v>
      </c>
      <c r="D3" s="148" t="s">
        <v>91</v>
      </c>
      <c r="E3" s="148" t="s">
        <v>92</v>
      </c>
      <c r="F3" s="149" t="s">
        <v>93</v>
      </c>
      <c r="G3" s="150" t="s">
        <v>94</v>
      </c>
      <c r="H3" s="151" t="s">
        <v>95</v>
      </c>
      <c r="I3" s="152"/>
      <c r="J3" s="153" t="s">
        <v>93</v>
      </c>
      <c r="K3" s="154"/>
      <c r="L3" s="155"/>
      <c r="M3" s="156" t="s">
        <v>94</v>
      </c>
      <c r="N3" s="157" t="s">
        <v>96</v>
      </c>
    </row>
    <row r="4" spans="1:14" s="169" customFormat="1" ht="18" customHeight="1">
      <c r="A4" s="278" t="s">
        <v>12</v>
      </c>
      <c r="B4" s="317">
        <v>12.3</v>
      </c>
      <c r="C4" s="426">
        <v>66</v>
      </c>
      <c r="D4" s="181"/>
      <c r="E4" s="162"/>
      <c r="F4" s="440">
        <v>1</v>
      </c>
      <c r="G4" s="160">
        <v>8</v>
      </c>
      <c r="H4" s="163">
        <v>950000</v>
      </c>
      <c r="I4" s="164">
        <f>IF(E4&gt;0,$N$13,0)+IF(C4&gt;0,50000,0)+IF(C12&lt;0,50000,0)</f>
        <v>50000</v>
      </c>
      <c r="J4" s="165" t="s">
        <v>97</v>
      </c>
      <c r="K4" s="166"/>
      <c r="L4" s="167"/>
      <c r="M4" s="168">
        <v>10</v>
      </c>
      <c r="N4" s="163">
        <f>N12*25%</f>
        <v>1250000</v>
      </c>
    </row>
    <row r="5" spans="1:14" s="169" customFormat="1" ht="18" customHeight="1">
      <c r="A5" s="261" t="s">
        <v>24</v>
      </c>
      <c r="B5" s="318">
        <v>14.8</v>
      </c>
      <c r="C5" s="447"/>
      <c r="D5" s="161"/>
      <c r="E5" s="162"/>
      <c r="F5" s="446"/>
      <c r="G5" s="160">
        <v>8</v>
      </c>
      <c r="H5" s="163">
        <v>950000</v>
      </c>
      <c r="I5" s="164">
        <f>IF(E5&gt;0,$N$13,0)+IF(C5&gt;0,50000,0)+IF(C13&lt;0,50000,0)</f>
        <v>0</v>
      </c>
      <c r="J5" s="170" t="s">
        <v>98</v>
      </c>
      <c r="K5" s="171"/>
      <c r="L5" s="172"/>
      <c r="M5" s="173">
        <v>8</v>
      </c>
      <c r="N5" s="163">
        <f>N12*20%</f>
        <v>1000000</v>
      </c>
    </row>
    <row r="6" spans="1:14" s="169" customFormat="1" ht="18" customHeight="1">
      <c r="A6" s="261" t="s">
        <v>36</v>
      </c>
      <c r="B6" s="318">
        <v>15.8</v>
      </c>
      <c r="C6" s="447"/>
      <c r="D6" s="181"/>
      <c r="E6" s="162"/>
      <c r="F6" s="446"/>
      <c r="G6" s="160">
        <v>8</v>
      </c>
      <c r="H6" s="163">
        <v>950000</v>
      </c>
      <c r="I6" s="164">
        <f>IF(E6&gt;0,$N$13,0)+IF(C6&gt;0,50000,0)+IF(C14&lt;0,50000,0)</f>
        <v>0</v>
      </c>
      <c r="J6" s="170" t="s">
        <v>99</v>
      </c>
      <c r="K6" s="171"/>
      <c r="L6" s="172"/>
      <c r="M6" s="173">
        <v>6</v>
      </c>
      <c r="N6" s="163">
        <f>N12*15%</f>
        <v>750000</v>
      </c>
    </row>
    <row r="7" spans="1:17" s="169" customFormat="1" ht="18" customHeight="1">
      <c r="A7" s="261" t="s">
        <v>58</v>
      </c>
      <c r="B7" s="318">
        <v>20.6</v>
      </c>
      <c r="C7" s="427"/>
      <c r="D7" s="181"/>
      <c r="E7" s="177"/>
      <c r="F7" s="441"/>
      <c r="G7" s="160">
        <v>8</v>
      </c>
      <c r="H7" s="163">
        <v>950000</v>
      </c>
      <c r="I7" s="164">
        <f>IF(E7&gt;0,$N$13,0)+IF(C7&gt;0,50000,0)+IF(C16&lt;0,50000,0)</f>
        <v>0</v>
      </c>
      <c r="J7" s="170" t="s">
        <v>100</v>
      </c>
      <c r="K7" s="171"/>
      <c r="L7" s="172"/>
      <c r="M7" s="173">
        <v>5</v>
      </c>
      <c r="N7" s="163">
        <f>N12*12%</f>
        <v>600000</v>
      </c>
      <c r="O7" s="175"/>
      <c r="P7" s="175"/>
      <c r="Q7" s="176"/>
    </row>
    <row r="8" spans="1:14" s="169" customFormat="1" ht="18" customHeight="1">
      <c r="A8" s="261" t="s">
        <v>16</v>
      </c>
      <c r="B8" s="318">
        <v>9.5</v>
      </c>
      <c r="C8" s="426">
        <v>67</v>
      </c>
      <c r="D8" s="161"/>
      <c r="E8" s="162"/>
      <c r="F8" s="440">
        <v>2</v>
      </c>
      <c r="G8" s="160">
        <v>4</v>
      </c>
      <c r="H8" s="163">
        <v>450000</v>
      </c>
      <c r="I8" s="164">
        <f>IF(E8&gt;0,$N$13,0)+IF(C8&gt;0,50000,0)+IF(C17&lt;0,50000,0)</f>
        <v>50000</v>
      </c>
      <c r="J8" s="170" t="s">
        <v>101</v>
      </c>
      <c r="K8" s="171"/>
      <c r="L8" s="172"/>
      <c r="M8" s="173">
        <v>4</v>
      </c>
      <c r="N8" s="163">
        <f>N12*10%</f>
        <v>500000</v>
      </c>
    </row>
    <row r="9" spans="1:14" s="169" customFormat="1" ht="18" customHeight="1">
      <c r="A9" s="261" t="s">
        <v>279</v>
      </c>
      <c r="B9" s="318">
        <v>14.9</v>
      </c>
      <c r="C9" s="447"/>
      <c r="D9" s="161"/>
      <c r="E9" s="177"/>
      <c r="F9" s="446"/>
      <c r="G9" s="160" t="s">
        <v>112</v>
      </c>
      <c r="H9" s="163" t="s">
        <v>112</v>
      </c>
      <c r="I9" s="164">
        <f>IF(E9&gt;0,$N$13,0)+IF(C9&gt;0,50000,0)+IF(C18&lt;0,50000,0)</f>
        <v>0</v>
      </c>
      <c r="J9" s="170" t="s">
        <v>102</v>
      </c>
      <c r="K9" s="171"/>
      <c r="L9" s="172"/>
      <c r="M9" s="173">
        <v>3</v>
      </c>
      <c r="N9" s="163">
        <f>N12*8%</f>
        <v>400000</v>
      </c>
    </row>
    <row r="10" spans="1:14" s="169" customFormat="1" ht="18" customHeight="1">
      <c r="A10" s="261" t="s">
        <v>40</v>
      </c>
      <c r="B10" s="318">
        <v>14.8</v>
      </c>
      <c r="C10" s="447"/>
      <c r="D10" s="181"/>
      <c r="E10" s="177"/>
      <c r="F10" s="446"/>
      <c r="G10" s="160">
        <v>4</v>
      </c>
      <c r="H10" s="163">
        <v>450000</v>
      </c>
      <c r="I10" s="164">
        <f>IF(E10&gt;0,$N$13,0)+IF(C10&gt;0,50000,0)+IF(C10&lt;0,50000,0)</f>
        <v>0</v>
      </c>
      <c r="J10" s="170" t="s">
        <v>103</v>
      </c>
      <c r="K10" s="171"/>
      <c r="L10" s="172"/>
      <c r="M10" s="173">
        <v>2</v>
      </c>
      <c r="N10" s="163">
        <f>N12*6%</f>
        <v>300000</v>
      </c>
    </row>
    <row r="11" spans="1:14" s="169" customFormat="1" ht="18" customHeight="1">
      <c r="A11" s="261" t="s">
        <v>48</v>
      </c>
      <c r="B11" s="318">
        <v>20.9</v>
      </c>
      <c r="C11" s="427"/>
      <c r="D11" s="161"/>
      <c r="E11" s="177"/>
      <c r="F11" s="441"/>
      <c r="G11" s="160">
        <v>4</v>
      </c>
      <c r="H11" s="163">
        <v>450000</v>
      </c>
      <c r="I11" s="164">
        <f aca="true" t="shared" si="0" ref="I11:I27">IF(E11&gt;0,$N$13,0)+IF(C11&gt;0,50000,0)+IF(C11&lt;0,50000,0)</f>
        <v>0</v>
      </c>
      <c r="J11" s="170" t="s">
        <v>104</v>
      </c>
      <c r="K11" s="171"/>
      <c r="L11" s="172"/>
      <c r="M11" s="173">
        <v>1</v>
      </c>
      <c r="N11" s="163">
        <f>N12*4%</f>
        <v>200000</v>
      </c>
    </row>
    <row r="12" spans="1:14" s="169" customFormat="1" ht="18" customHeight="1">
      <c r="A12" s="261" t="s">
        <v>20</v>
      </c>
      <c r="B12" s="318">
        <v>14</v>
      </c>
      <c r="C12" s="426">
        <v>67</v>
      </c>
      <c r="D12" s="181"/>
      <c r="E12" s="162"/>
      <c r="F12" s="440">
        <v>3</v>
      </c>
      <c r="G12" s="160"/>
      <c r="H12" s="163">
        <v>50000</v>
      </c>
      <c r="I12" s="164">
        <f t="shared" si="0"/>
        <v>50000</v>
      </c>
      <c r="J12" s="179" t="s">
        <v>105</v>
      </c>
      <c r="K12" s="171"/>
      <c r="L12" s="172"/>
      <c r="M12" s="173"/>
      <c r="N12" s="180">
        <v>5000000</v>
      </c>
    </row>
    <row r="13" spans="1:14" s="169" customFormat="1" ht="18" customHeight="1">
      <c r="A13" s="261" t="s">
        <v>34</v>
      </c>
      <c r="B13" s="318">
        <v>14</v>
      </c>
      <c r="C13" s="447"/>
      <c r="D13" s="161"/>
      <c r="E13" s="177"/>
      <c r="F13" s="446"/>
      <c r="G13" s="160"/>
      <c r="H13" s="163">
        <v>50000</v>
      </c>
      <c r="I13" s="164">
        <f t="shared" si="0"/>
        <v>0</v>
      </c>
      <c r="J13" s="182" t="s">
        <v>106</v>
      </c>
      <c r="K13" s="183"/>
      <c r="L13" s="184"/>
      <c r="M13" s="185">
        <v>1</v>
      </c>
      <c r="N13" s="186">
        <f>N10</f>
        <v>300000</v>
      </c>
    </row>
    <row r="14" spans="1:14" s="169" customFormat="1" ht="18" customHeight="1">
      <c r="A14" s="261" t="s">
        <v>50</v>
      </c>
      <c r="B14" s="318">
        <v>7.4</v>
      </c>
      <c r="C14" s="447"/>
      <c r="D14" s="161"/>
      <c r="E14" s="162"/>
      <c r="F14" s="446"/>
      <c r="G14" s="160"/>
      <c r="H14" s="163">
        <v>50000</v>
      </c>
      <c r="I14" s="164">
        <f t="shared" si="0"/>
        <v>0</v>
      </c>
      <c r="J14" s="187"/>
      <c r="K14" s="183"/>
      <c r="L14" s="183"/>
      <c r="M14" s="188"/>
      <c r="N14" s="189"/>
    </row>
    <row r="15" spans="1:14" s="169" customFormat="1" ht="18" customHeight="1">
      <c r="A15" s="261" t="s">
        <v>54</v>
      </c>
      <c r="B15" s="318">
        <v>24.6</v>
      </c>
      <c r="C15" s="427"/>
      <c r="D15" s="161"/>
      <c r="E15" s="162"/>
      <c r="F15" s="441"/>
      <c r="G15" s="160"/>
      <c r="H15" s="163">
        <v>50000</v>
      </c>
      <c r="I15" s="164">
        <f t="shared" si="0"/>
        <v>0</v>
      </c>
      <c r="J15" s="190"/>
      <c r="K15" s="191"/>
      <c r="L15" s="191"/>
      <c r="M15" s="192"/>
      <c r="N15" s="193"/>
    </row>
    <row r="16" spans="1:9" s="169" customFormat="1" ht="18" customHeight="1">
      <c r="A16" s="261" t="s">
        <v>14</v>
      </c>
      <c r="B16" s="318">
        <v>18.3</v>
      </c>
      <c r="C16" s="426">
        <v>67</v>
      </c>
      <c r="D16" s="181"/>
      <c r="E16" s="162"/>
      <c r="F16" s="442">
        <v>4</v>
      </c>
      <c r="G16" s="64"/>
      <c r="H16" s="163">
        <v>50000</v>
      </c>
      <c r="I16" s="164">
        <f t="shared" si="0"/>
        <v>50000</v>
      </c>
    </row>
    <row r="17" spans="1:17" s="169" customFormat="1" ht="18" customHeight="1">
      <c r="A17" s="261" t="s">
        <v>18</v>
      </c>
      <c r="B17" s="318">
        <v>17.9</v>
      </c>
      <c r="C17" s="447"/>
      <c r="D17" s="161"/>
      <c r="E17" s="162"/>
      <c r="F17" s="448"/>
      <c r="G17" s="64"/>
      <c r="H17" s="163">
        <v>50000</v>
      </c>
      <c r="I17" s="164">
        <f t="shared" si="0"/>
        <v>0</v>
      </c>
      <c r="O17" s="175"/>
      <c r="P17" s="175"/>
      <c r="Q17" s="176"/>
    </row>
    <row r="18" spans="1:14" s="169" customFormat="1" ht="18" customHeight="1">
      <c r="A18" s="261" t="s">
        <v>32</v>
      </c>
      <c r="B18" s="318">
        <v>12.3</v>
      </c>
      <c r="C18" s="447"/>
      <c r="D18" s="161"/>
      <c r="E18" s="162"/>
      <c r="F18" s="448"/>
      <c r="G18" s="160"/>
      <c r="H18" s="163">
        <v>50000</v>
      </c>
      <c r="I18" s="164">
        <f t="shared" si="0"/>
        <v>0</v>
      </c>
      <c r="J18" s="64" t="s">
        <v>113</v>
      </c>
      <c r="K18" s="64" t="s">
        <v>94</v>
      </c>
      <c r="L18" s="64"/>
      <c r="M18" s="64" t="s">
        <v>114</v>
      </c>
      <c r="N18" s="64"/>
    </row>
    <row r="19" spans="1:14" s="169" customFormat="1" ht="18" customHeight="1">
      <c r="A19" s="261" t="s">
        <v>56</v>
      </c>
      <c r="B19" s="318">
        <v>13.8</v>
      </c>
      <c r="C19" s="427"/>
      <c r="D19" s="161"/>
      <c r="E19" s="162"/>
      <c r="F19" s="443"/>
      <c r="G19" s="160"/>
      <c r="H19" s="163">
        <v>50000</v>
      </c>
      <c r="I19" s="164">
        <f t="shared" si="0"/>
        <v>0</v>
      </c>
      <c r="J19" s="64">
        <v>1</v>
      </c>
      <c r="K19" s="64" t="s">
        <v>115</v>
      </c>
      <c r="L19" s="64">
        <v>10</v>
      </c>
      <c r="M19" s="163" t="s">
        <v>115</v>
      </c>
      <c r="N19" s="163">
        <f>N12*20%</f>
        <v>1000000</v>
      </c>
    </row>
    <row r="20" spans="1:14" s="144" customFormat="1" ht="18" customHeight="1">
      <c r="A20" s="261" t="s">
        <v>10</v>
      </c>
      <c r="B20" s="318">
        <v>22.7</v>
      </c>
      <c r="C20" s="426">
        <v>72</v>
      </c>
      <c r="D20" s="161"/>
      <c r="E20" s="162"/>
      <c r="F20" s="440">
        <v>5</v>
      </c>
      <c r="G20" s="64"/>
      <c r="H20" s="163">
        <v>50000</v>
      </c>
      <c r="I20" s="164">
        <f t="shared" si="0"/>
        <v>50000</v>
      </c>
      <c r="J20" s="64">
        <v>2</v>
      </c>
      <c r="K20" s="64" t="s">
        <v>115</v>
      </c>
      <c r="L20" s="64">
        <v>6</v>
      </c>
      <c r="M20" s="163" t="s">
        <v>115</v>
      </c>
      <c r="N20" s="163">
        <f>N12*15%</f>
        <v>750000</v>
      </c>
    </row>
    <row r="21" spans="1:14" s="144" customFormat="1" ht="18" customHeight="1">
      <c r="A21" s="261" t="s">
        <v>30</v>
      </c>
      <c r="B21" s="318">
        <v>11.5</v>
      </c>
      <c r="C21" s="447"/>
      <c r="D21" s="161"/>
      <c r="E21" s="162"/>
      <c r="F21" s="446"/>
      <c r="G21" s="64"/>
      <c r="H21" s="163">
        <v>50000</v>
      </c>
      <c r="I21" s="164">
        <f t="shared" si="0"/>
        <v>0</v>
      </c>
      <c r="J21" s="64">
        <v>3</v>
      </c>
      <c r="K21" s="64" t="s">
        <v>115</v>
      </c>
      <c r="L21" s="64">
        <v>4</v>
      </c>
      <c r="M21" s="163" t="s">
        <v>115</v>
      </c>
      <c r="N21" s="163">
        <f>N12*10%</f>
        <v>500000</v>
      </c>
    </row>
    <row r="22" spans="1:14" s="144" customFormat="1" ht="18" customHeight="1">
      <c r="A22" s="261" t="s">
        <v>44</v>
      </c>
      <c r="B22" s="318">
        <v>17.6</v>
      </c>
      <c r="C22" s="447"/>
      <c r="D22" s="161"/>
      <c r="E22" s="162"/>
      <c r="F22" s="446"/>
      <c r="G22" s="64"/>
      <c r="H22" s="163">
        <v>50000</v>
      </c>
      <c r="I22" s="164">
        <f t="shared" si="0"/>
        <v>0</v>
      </c>
      <c r="J22" s="64">
        <v>4</v>
      </c>
      <c r="K22" s="64" t="s">
        <v>115</v>
      </c>
      <c r="L22" s="64">
        <v>2</v>
      </c>
      <c r="M22" s="163" t="s">
        <v>115</v>
      </c>
      <c r="N22" s="163">
        <f>N12*5%</f>
        <v>250000</v>
      </c>
    </row>
    <row r="23" spans="1:14" s="144" customFormat="1" ht="18" customHeight="1">
      <c r="A23" s="261" t="s">
        <v>52</v>
      </c>
      <c r="B23" s="318">
        <v>10.6</v>
      </c>
      <c r="C23" s="427"/>
      <c r="D23" s="161"/>
      <c r="E23" s="177"/>
      <c r="F23" s="441"/>
      <c r="G23" s="64"/>
      <c r="H23" s="163">
        <v>50000</v>
      </c>
      <c r="I23" s="164">
        <f t="shared" si="0"/>
        <v>0</v>
      </c>
      <c r="L23" s="204"/>
      <c r="M23" s="205"/>
      <c r="N23" s="205"/>
    </row>
    <row r="24" spans="1:14" s="144" customFormat="1" ht="18" customHeight="1">
      <c r="A24" s="261"/>
      <c r="B24" s="318"/>
      <c r="C24" s="161"/>
      <c r="D24" s="181"/>
      <c r="E24" s="162"/>
      <c r="F24" s="64"/>
      <c r="G24" s="64"/>
      <c r="H24" s="163">
        <f>I24</f>
        <v>0</v>
      </c>
      <c r="I24" s="164">
        <f t="shared" si="0"/>
        <v>0</v>
      </c>
      <c r="L24" s="204"/>
      <c r="M24" s="205"/>
      <c r="N24" s="205"/>
    </row>
    <row r="25" spans="1:14" s="144" customFormat="1" ht="18" customHeight="1">
      <c r="A25" s="261"/>
      <c r="B25" s="318"/>
      <c r="C25" s="64"/>
      <c r="D25" s="181"/>
      <c r="E25" s="177"/>
      <c r="F25" s="64"/>
      <c r="G25" s="64"/>
      <c r="H25" s="163">
        <f>I25</f>
        <v>0</v>
      </c>
      <c r="I25" s="164">
        <f t="shared" si="0"/>
        <v>0</v>
      </c>
      <c r="J25" s="64" t="s">
        <v>116</v>
      </c>
      <c r="K25" s="64" t="s">
        <v>94</v>
      </c>
      <c r="L25" s="64"/>
      <c r="M25" s="163" t="s">
        <v>114</v>
      </c>
      <c r="N25" s="163"/>
    </row>
    <row r="26" spans="1:14" s="144" customFormat="1" ht="18" customHeight="1">
      <c r="A26" s="261"/>
      <c r="B26" s="318"/>
      <c r="C26" s="161"/>
      <c r="D26" s="161"/>
      <c r="E26" s="177"/>
      <c r="F26" s="160"/>
      <c r="G26" s="160"/>
      <c r="H26" s="163">
        <f>I26</f>
        <v>0</v>
      </c>
      <c r="I26" s="164">
        <f t="shared" si="0"/>
        <v>0</v>
      </c>
      <c r="J26" s="64">
        <v>1</v>
      </c>
      <c r="K26" s="64" t="s">
        <v>117</v>
      </c>
      <c r="L26" s="64">
        <v>8</v>
      </c>
      <c r="M26" s="163" t="s">
        <v>117</v>
      </c>
      <c r="N26" s="163">
        <v>900000</v>
      </c>
    </row>
    <row r="27" spans="1:14" s="144" customFormat="1" ht="18" customHeight="1">
      <c r="A27" s="261"/>
      <c r="B27" s="318"/>
      <c r="C27" s="160"/>
      <c r="D27" s="161"/>
      <c r="E27" s="162"/>
      <c r="F27" s="160"/>
      <c r="G27" s="160"/>
      <c r="H27" s="163">
        <f>I27</f>
        <v>0</v>
      </c>
      <c r="I27" s="164">
        <f t="shared" si="0"/>
        <v>0</v>
      </c>
      <c r="J27" s="64">
        <v>2</v>
      </c>
      <c r="K27" s="64" t="s">
        <v>117</v>
      </c>
      <c r="L27" s="64">
        <v>4</v>
      </c>
      <c r="M27" s="163" t="s">
        <v>117</v>
      </c>
      <c r="N27" s="163">
        <v>400000</v>
      </c>
    </row>
    <row r="28" spans="1:9" ht="18" customHeight="1">
      <c r="A28" s="1"/>
      <c r="B28" s="3"/>
      <c r="C28" s="196"/>
      <c r="D28" s="197">
        <f>SUM(D4:D27)</f>
        <v>0</v>
      </c>
      <c r="E28" s="196"/>
      <c r="F28" s="3"/>
      <c r="G28" s="198">
        <f>SUM(G4:G27)</f>
        <v>44</v>
      </c>
      <c r="H28" s="198">
        <f>SUM(H4:H27)</f>
        <v>5750000</v>
      </c>
      <c r="I28" s="199"/>
    </row>
  </sheetData>
  <sheetProtection selectLockedCells="1" selectUnlockedCells="1"/>
  <mergeCells count="12">
    <mergeCell ref="B1:N1"/>
    <mergeCell ref="B2:N2"/>
    <mergeCell ref="F4:F7"/>
    <mergeCell ref="F8:F11"/>
    <mergeCell ref="F12:F15"/>
    <mergeCell ref="F16:F19"/>
    <mergeCell ref="F20:F23"/>
    <mergeCell ref="C4:C7"/>
    <mergeCell ref="C8:C11"/>
    <mergeCell ref="C12:C15"/>
    <mergeCell ref="C16:C19"/>
    <mergeCell ref="C20:C23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8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workbookViewId="0" topLeftCell="A1">
      <selection activeCell="A1" sqref="A1:N28"/>
    </sheetView>
  </sheetViews>
  <sheetFormatPr defaultColWidth="9.140625" defaultRowHeight="12.75"/>
  <cols>
    <col min="1" max="1" width="25.140625" style="141" customWidth="1"/>
    <col min="2" max="2" width="7.8515625" style="142" customWidth="1"/>
    <col min="3" max="3" width="8.421875" style="143" customWidth="1"/>
    <col min="4" max="4" width="6.8515625" style="142" customWidth="1"/>
    <col min="5" max="5" width="8.140625" style="142" customWidth="1"/>
    <col min="6" max="6" width="10.140625" style="142" customWidth="1"/>
    <col min="7" max="7" width="9.140625" style="142" customWidth="1"/>
    <col min="8" max="8" width="13.421875" style="142" customWidth="1"/>
    <col min="9" max="9" width="4.8515625" style="11" customWidth="1"/>
    <col min="10" max="10" width="8.421875" style="11" customWidth="1"/>
    <col min="11" max="11" width="7.00390625" style="11" customWidth="1"/>
    <col min="12" max="12" width="7.8515625" style="11" customWidth="1"/>
    <col min="13" max="13" width="7.421875" style="11" customWidth="1"/>
    <col min="14" max="14" width="12.421875" style="11" customWidth="1"/>
    <col min="15" max="15" width="7.421875" style="11" customWidth="1"/>
    <col min="16" max="16384" width="9.140625" style="11" customWidth="1"/>
  </cols>
  <sheetData>
    <row r="1" spans="2:14" s="144" customFormat="1" ht="43.5" customHeight="1">
      <c r="B1" s="419" t="s">
        <v>130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2:14" s="144" customFormat="1" ht="29.25" customHeight="1">
      <c r="B2" s="425" t="s">
        <v>198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4" s="158" customFormat="1" ht="27" customHeight="1">
      <c r="A3" s="147" t="s">
        <v>88</v>
      </c>
      <c r="B3" s="148" t="s">
        <v>89</v>
      </c>
      <c r="C3" s="148" t="s">
        <v>90</v>
      </c>
      <c r="D3" s="148" t="s">
        <v>91</v>
      </c>
      <c r="E3" s="148" t="s">
        <v>92</v>
      </c>
      <c r="F3" s="149" t="s">
        <v>93</v>
      </c>
      <c r="G3" s="150" t="s">
        <v>94</v>
      </c>
      <c r="H3" s="151" t="s">
        <v>95</v>
      </c>
      <c r="I3" s="152"/>
      <c r="J3" s="153" t="s">
        <v>93</v>
      </c>
      <c r="K3" s="154"/>
      <c r="L3" s="155"/>
      <c r="M3" s="156" t="s">
        <v>94</v>
      </c>
      <c r="N3" s="157" t="s">
        <v>96</v>
      </c>
    </row>
    <row r="4" spans="1:14" s="169" customFormat="1" ht="18" customHeight="1">
      <c r="A4" s="278" t="s">
        <v>40</v>
      </c>
      <c r="B4" s="317">
        <v>14.8</v>
      </c>
      <c r="C4" s="160">
        <v>38</v>
      </c>
      <c r="D4" s="161">
        <v>30</v>
      </c>
      <c r="E4" s="162"/>
      <c r="F4" s="160">
        <v>1</v>
      </c>
      <c r="G4" s="160">
        <v>10</v>
      </c>
      <c r="H4" s="163">
        <f aca="true" t="shared" si="0" ref="H4:H11">N4+I4</f>
        <v>1550000</v>
      </c>
      <c r="I4" s="164">
        <f aca="true" t="shared" si="1" ref="I4:I11">IF(E4&gt;0,$N$13,0)+IF(C4&gt;0,50000,0)+IF(C12&lt;0,50000,0)</f>
        <v>50000</v>
      </c>
      <c r="J4" s="165" t="s">
        <v>97</v>
      </c>
      <c r="K4" s="166"/>
      <c r="L4" s="167"/>
      <c r="M4" s="168">
        <v>10</v>
      </c>
      <c r="N4" s="163">
        <f>N12*25%</f>
        <v>1500000</v>
      </c>
    </row>
    <row r="5" spans="1:14" s="169" customFormat="1" ht="18" customHeight="1">
      <c r="A5" s="261" t="s">
        <v>36</v>
      </c>
      <c r="B5" s="318">
        <v>15.8</v>
      </c>
      <c r="C5" s="160">
        <v>35</v>
      </c>
      <c r="D5" s="161">
        <v>29</v>
      </c>
      <c r="E5" s="162"/>
      <c r="F5" s="160">
        <v>2</v>
      </c>
      <c r="G5" s="160">
        <v>8</v>
      </c>
      <c r="H5" s="163">
        <f t="shared" si="0"/>
        <v>1250000</v>
      </c>
      <c r="I5" s="164">
        <f t="shared" si="1"/>
        <v>50000</v>
      </c>
      <c r="J5" s="170" t="s">
        <v>98</v>
      </c>
      <c r="K5" s="171"/>
      <c r="L5" s="172"/>
      <c r="M5" s="173">
        <v>8</v>
      </c>
      <c r="N5" s="163">
        <f>N12*20%</f>
        <v>1200000</v>
      </c>
    </row>
    <row r="6" spans="1:17" s="169" customFormat="1" ht="18" customHeight="1">
      <c r="A6" s="261" t="s">
        <v>52</v>
      </c>
      <c r="B6" s="318">
        <v>10.6</v>
      </c>
      <c r="C6" s="181">
        <v>30</v>
      </c>
      <c r="D6" s="161">
        <v>33</v>
      </c>
      <c r="E6" s="162"/>
      <c r="F6" s="64">
        <v>3</v>
      </c>
      <c r="G6" s="64">
        <v>6</v>
      </c>
      <c r="H6" s="163">
        <f t="shared" si="0"/>
        <v>950000</v>
      </c>
      <c r="I6" s="164">
        <f t="shared" si="1"/>
        <v>50000</v>
      </c>
      <c r="J6" s="170" t="s">
        <v>99</v>
      </c>
      <c r="K6" s="171"/>
      <c r="L6" s="172"/>
      <c r="M6" s="173">
        <v>6</v>
      </c>
      <c r="N6" s="163">
        <f>N12*15%</f>
        <v>900000</v>
      </c>
      <c r="Q6" s="206"/>
    </row>
    <row r="7" spans="1:18" s="169" customFormat="1" ht="18" customHeight="1">
      <c r="A7" s="261" t="s">
        <v>32</v>
      </c>
      <c r="B7" s="318">
        <v>12.3</v>
      </c>
      <c r="C7" s="160">
        <v>30</v>
      </c>
      <c r="D7" s="161">
        <v>35</v>
      </c>
      <c r="E7" s="162"/>
      <c r="F7" s="160">
        <v>4</v>
      </c>
      <c r="G7" s="160">
        <v>5</v>
      </c>
      <c r="H7" s="163">
        <f t="shared" si="0"/>
        <v>770000</v>
      </c>
      <c r="I7" s="164">
        <f t="shared" si="1"/>
        <v>50000</v>
      </c>
      <c r="J7" s="170" t="s">
        <v>100</v>
      </c>
      <c r="K7" s="171"/>
      <c r="L7" s="172"/>
      <c r="M7" s="173">
        <v>5</v>
      </c>
      <c r="N7" s="163">
        <f>N12*12%</f>
        <v>720000</v>
      </c>
      <c r="O7" s="175"/>
      <c r="P7" s="175"/>
      <c r="Q7" s="175"/>
      <c r="R7" s="176"/>
    </row>
    <row r="8" spans="1:14" s="169" customFormat="1" ht="18" customHeight="1">
      <c r="A8" s="261" t="s">
        <v>44</v>
      </c>
      <c r="B8" s="318">
        <v>17.6</v>
      </c>
      <c r="C8" s="160">
        <v>30</v>
      </c>
      <c r="D8" s="161">
        <v>29</v>
      </c>
      <c r="E8" s="162"/>
      <c r="F8" s="160">
        <v>5</v>
      </c>
      <c r="G8" s="160">
        <v>4</v>
      </c>
      <c r="H8" s="163">
        <f t="shared" si="0"/>
        <v>650000</v>
      </c>
      <c r="I8" s="164">
        <f t="shared" si="1"/>
        <v>50000</v>
      </c>
      <c r="J8" s="170" t="s">
        <v>101</v>
      </c>
      <c r="K8" s="171"/>
      <c r="L8" s="172"/>
      <c r="M8" s="173">
        <v>4</v>
      </c>
      <c r="N8" s="163">
        <f>N12*10%</f>
        <v>600000</v>
      </c>
    </row>
    <row r="9" spans="1:14" s="169" customFormat="1" ht="18" customHeight="1">
      <c r="A9" s="261" t="s">
        <v>50</v>
      </c>
      <c r="B9" s="318">
        <v>7.4</v>
      </c>
      <c r="C9" s="160">
        <v>29</v>
      </c>
      <c r="D9" s="161">
        <v>34</v>
      </c>
      <c r="E9" s="162"/>
      <c r="F9" s="178">
        <v>6</v>
      </c>
      <c r="G9" s="178">
        <v>3</v>
      </c>
      <c r="H9" s="163">
        <f t="shared" si="0"/>
        <v>530000</v>
      </c>
      <c r="I9" s="164">
        <f t="shared" si="1"/>
        <v>50000</v>
      </c>
      <c r="J9" s="170" t="s">
        <v>102</v>
      </c>
      <c r="K9" s="171"/>
      <c r="L9" s="172"/>
      <c r="M9" s="173">
        <v>3</v>
      </c>
      <c r="N9" s="163">
        <f>N12*8%</f>
        <v>480000</v>
      </c>
    </row>
    <row r="10" spans="1:14" s="169" customFormat="1" ht="18" customHeight="1">
      <c r="A10" s="261" t="s">
        <v>10</v>
      </c>
      <c r="B10" s="318">
        <v>22.7</v>
      </c>
      <c r="C10" s="161">
        <v>28</v>
      </c>
      <c r="D10" s="161">
        <v>41</v>
      </c>
      <c r="E10" s="162"/>
      <c r="F10" s="160">
        <v>7</v>
      </c>
      <c r="G10" s="160">
        <v>2</v>
      </c>
      <c r="H10" s="163">
        <f t="shared" si="0"/>
        <v>410000</v>
      </c>
      <c r="I10" s="164">
        <f t="shared" si="1"/>
        <v>50000</v>
      </c>
      <c r="J10" s="170" t="s">
        <v>103</v>
      </c>
      <c r="K10" s="171"/>
      <c r="L10" s="172"/>
      <c r="M10" s="173">
        <v>2</v>
      </c>
      <c r="N10" s="163">
        <f>N12*6%</f>
        <v>360000</v>
      </c>
    </row>
    <row r="11" spans="1:17" s="169" customFormat="1" ht="18" customHeight="1">
      <c r="A11" s="261" t="s">
        <v>12</v>
      </c>
      <c r="B11" s="318">
        <v>12.3</v>
      </c>
      <c r="C11" s="160">
        <v>26</v>
      </c>
      <c r="D11" s="161">
        <v>34</v>
      </c>
      <c r="E11" s="162"/>
      <c r="F11" s="160">
        <v>8</v>
      </c>
      <c r="G11" s="160">
        <v>1</v>
      </c>
      <c r="H11" s="163">
        <f t="shared" si="0"/>
        <v>290000</v>
      </c>
      <c r="I11" s="164">
        <f t="shared" si="1"/>
        <v>50000</v>
      </c>
      <c r="J11" s="170" t="s">
        <v>104</v>
      </c>
      <c r="K11" s="171"/>
      <c r="L11" s="172"/>
      <c r="M11" s="173">
        <v>1</v>
      </c>
      <c r="N11" s="163">
        <f>N12*4%</f>
        <v>240000</v>
      </c>
      <c r="Q11" s="206"/>
    </row>
    <row r="12" spans="1:14" s="169" customFormat="1" ht="18" customHeight="1">
      <c r="A12" s="261" t="s">
        <v>20</v>
      </c>
      <c r="B12" s="318">
        <v>14</v>
      </c>
      <c r="C12" s="160">
        <v>26</v>
      </c>
      <c r="D12" s="161">
        <v>37</v>
      </c>
      <c r="E12" s="162"/>
      <c r="F12" s="160"/>
      <c r="G12" s="160"/>
      <c r="H12" s="163">
        <f aca="true" t="shared" si="2" ref="H12:H27">I12</f>
        <v>50000</v>
      </c>
      <c r="I12" s="164">
        <f aca="true" t="shared" si="3" ref="I12:I27">IF(E12&gt;0,$N$13,0)+IF(C12&gt;0,50000,0)+IF(C12&lt;0,50000,0)</f>
        <v>50000</v>
      </c>
      <c r="J12" s="179" t="s">
        <v>105</v>
      </c>
      <c r="K12" s="171"/>
      <c r="L12" s="172"/>
      <c r="M12" s="173"/>
      <c r="N12" s="180">
        <v>6000000</v>
      </c>
    </row>
    <row r="13" spans="1:14" s="169" customFormat="1" ht="18" customHeight="1">
      <c r="A13" s="261" t="s">
        <v>14</v>
      </c>
      <c r="B13" s="318">
        <v>18.3</v>
      </c>
      <c r="C13" s="161">
        <v>26</v>
      </c>
      <c r="D13" s="181">
        <v>35</v>
      </c>
      <c r="E13" s="162"/>
      <c r="F13" s="160"/>
      <c r="G13" s="160"/>
      <c r="H13" s="163">
        <f t="shared" si="2"/>
        <v>50000</v>
      </c>
      <c r="I13" s="164">
        <f t="shared" si="3"/>
        <v>50000</v>
      </c>
      <c r="J13" s="182" t="s">
        <v>106</v>
      </c>
      <c r="K13" s="183"/>
      <c r="L13" s="184"/>
      <c r="M13" s="185">
        <v>1</v>
      </c>
      <c r="N13" s="186">
        <f>N10</f>
        <v>360000</v>
      </c>
    </row>
    <row r="14" spans="1:14" s="169" customFormat="1" ht="18" customHeight="1">
      <c r="A14" s="261" t="s">
        <v>54</v>
      </c>
      <c r="B14" s="318">
        <v>24.6</v>
      </c>
      <c r="C14" s="161">
        <v>26</v>
      </c>
      <c r="D14" s="161">
        <v>39</v>
      </c>
      <c r="E14" s="162"/>
      <c r="F14" s="160"/>
      <c r="G14" s="160"/>
      <c r="H14" s="163">
        <f t="shared" si="2"/>
        <v>50000</v>
      </c>
      <c r="I14" s="164">
        <f t="shared" si="3"/>
        <v>50000</v>
      </c>
      <c r="J14" s="187"/>
      <c r="K14" s="183"/>
      <c r="L14" s="183"/>
      <c r="M14" s="188"/>
      <c r="N14" s="189"/>
    </row>
    <row r="15" spans="1:14" s="169" customFormat="1" ht="18" customHeight="1">
      <c r="A15" s="261" t="s">
        <v>42</v>
      </c>
      <c r="B15" s="318">
        <v>25</v>
      </c>
      <c r="C15" s="160">
        <v>25</v>
      </c>
      <c r="D15" s="161">
        <v>34</v>
      </c>
      <c r="E15" s="162"/>
      <c r="F15" s="160"/>
      <c r="G15" s="160"/>
      <c r="H15" s="163">
        <f t="shared" si="2"/>
        <v>50000</v>
      </c>
      <c r="I15" s="164">
        <f t="shared" si="3"/>
        <v>50000</v>
      </c>
      <c r="J15" s="190"/>
      <c r="K15" s="191"/>
      <c r="L15" s="191"/>
      <c r="M15" s="192"/>
      <c r="N15" s="193"/>
    </row>
    <row r="16" spans="1:9" s="169" customFormat="1" ht="18" customHeight="1">
      <c r="A16" s="261" t="s">
        <v>28</v>
      </c>
      <c r="B16" s="318">
        <v>18.6</v>
      </c>
      <c r="C16" s="160">
        <v>23</v>
      </c>
      <c r="D16" s="161">
        <v>40</v>
      </c>
      <c r="E16" s="162">
        <v>4.72</v>
      </c>
      <c r="F16" s="64"/>
      <c r="G16" s="64"/>
      <c r="H16" s="163">
        <f t="shared" si="2"/>
        <v>410000</v>
      </c>
      <c r="I16" s="164">
        <f t="shared" si="3"/>
        <v>410000</v>
      </c>
    </row>
    <row r="17" spans="1:18" s="169" customFormat="1" ht="18" customHeight="1">
      <c r="A17" s="261" t="s">
        <v>38</v>
      </c>
      <c r="B17" s="318">
        <v>22.2</v>
      </c>
      <c r="C17" s="160">
        <v>23</v>
      </c>
      <c r="D17" s="161">
        <v>35</v>
      </c>
      <c r="E17" s="162"/>
      <c r="F17" s="64"/>
      <c r="G17" s="64"/>
      <c r="H17" s="163">
        <f t="shared" si="2"/>
        <v>50000</v>
      </c>
      <c r="I17" s="164">
        <f t="shared" si="3"/>
        <v>50000</v>
      </c>
      <c r="O17" s="175"/>
      <c r="P17" s="175"/>
      <c r="Q17" s="175"/>
      <c r="R17" s="176"/>
    </row>
    <row r="18" spans="1:13" s="169" customFormat="1" ht="18" customHeight="1">
      <c r="A18" s="261" t="s">
        <v>48</v>
      </c>
      <c r="B18" s="318">
        <v>20.9</v>
      </c>
      <c r="C18" s="161">
        <v>20</v>
      </c>
      <c r="D18" s="181">
        <v>43</v>
      </c>
      <c r="E18" s="162"/>
      <c r="F18" s="160"/>
      <c r="G18" s="160"/>
      <c r="H18" s="163">
        <f t="shared" si="2"/>
        <v>50000</v>
      </c>
      <c r="I18" s="164">
        <f t="shared" si="3"/>
        <v>50000</v>
      </c>
      <c r="J18" s="176"/>
      <c r="K18" s="176"/>
      <c r="L18" s="176"/>
      <c r="M18" s="176"/>
    </row>
    <row r="19" spans="1:13" s="169" customFormat="1" ht="18" customHeight="1">
      <c r="A19" s="261" t="s">
        <v>18</v>
      </c>
      <c r="B19" s="318">
        <v>17.9</v>
      </c>
      <c r="C19" s="181">
        <v>19</v>
      </c>
      <c r="D19" s="181">
        <v>42</v>
      </c>
      <c r="E19" s="162"/>
      <c r="F19" s="160"/>
      <c r="G19" s="160"/>
      <c r="H19" s="163">
        <f t="shared" si="2"/>
        <v>50000</v>
      </c>
      <c r="I19" s="164">
        <f t="shared" si="3"/>
        <v>50000</v>
      </c>
      <c r="J19" s="176"/>
      <c r="K19" s="176"/>
      <c r="L19" s="176"/>
      <c r="M19" s="176"/>
    </row>
    <row r="20" spans="1:9" s="144" customFormat="1" ht="18" customHeight="1">
      <c r="A20" s="261"/>
      <c r="B20" s="318"/>
      <c r="C20" s="160"/>
      <c r="D20" s="161"/>
      <c r="E20" s="162"/>
      <c r="F20" s="64"/>
      <c r="G20" s="64"/>
      <c r="H20" s="163">
        <f t="shared" si="2"/>
        <v>0</v>
      </c>
      <c r="I20" s="164">
        <f t="shared" si="3"/>
        <v>0</v>
      </c>
    </row>
    <row r="21" spans="1:9" s="144" customFormat="1" ht="18" customHeight="1">
      <c r="A21" s="261"/>
      <c r="B21" s="318"/>
      <c r="C21" s="160"/>
      <c r="D21" s="161"/>
      <c r="E21" s="162"/>
      <c r="F21" s="64"/>
      <c r="G21" s="64"/>
      <c r="H21" s="163">
        <f t="shared" si="2"/>
        <v>0</v>
      </c>
      <c r="I21" s="164">
        <f t="shared" si="3"/>
        <v>0</v>
      </c>
    </row>
    <row r="22" spans="1:9" s="144" customFormat="1" ht="18" customHeight="1">
      <c r="A22" s="261"/>
      <c r="B22" s="318"/>
      <c r="C22" s="161"/>
      <c r="D22" s="181"/>
      <c r="E22" s="162"/>
      <c r="F22" s="64"/>
      <c r="G22" s="64"/>
      <c r="H22" s="163">
        <f t="shared" si="2"/>
        <v>0</v>
      </c>
      <c r="I22" s="164">
        <f t="shared" si="3"/>
        <v>0</v>
      </c>
    </row>
    <row r="23" spans="1:9" s="144" customFormat="1" ht="18" customHeight="1">
      <c r="A23" s="261"/>
      <c r="B23" s="318"/>
      <c r="C23" s="181"/>
      <c r="D23" s="161"/>
      <c r="E23" s="162"/>
      <c r="F23" s="64"/>
      <c r="G23" s="64"/>
      <c r="H23" s="163">
        <f t="shared" si="2"/>
        <v>0</v>
      </c>
      <c r="I23" s="164">
        <f t="shared" si="3"/>
        <v>0</v>
      </c>
    </row>
    <row r="24" spans="1:9" s="144" customFormat="1" ht="18" customHeight="1">
      <c r="A24" s="261"/>
      <c r="B24" s="318"/>
      <c r="C24" s="160"/>
      <c r="D24" s="181"/>
      <c r="E24" s="162"/>
      <c r="F24" s="64"/>
      <c r="G24" s="64"/>
      <c r="H24" s="163">
        <f t="shared" si="2"/>
        <v>0</v>
      </c>
      <c r="I24" s="164">
        <f t="shared" si="3"/>
        <v>0</v>
      </c>
    </row>
    <row r="25" spans="1:9" s="144" customFormat="1" ht="18" customHeight="1">
      <c r="A25" s="261"/>
      <c r="B25" s="318"/>
      <c r="C25" s="160"/>
      <c r="D25" s="181"/>
      <c r="E25" s="162"/>
      <c r="F25" s="64"/>
      <c r="G25" s="64"/>
      <c r="H25" s="163">
        <f t="shared" si="2"/>
        <v>0</v>
      </c>
      <c r="I25" s="164">
        <f t="shared" si="3"/>
        <v>0</v>
      </c>
    </row>
    <row r="26" spans="1:9" s="144" customFormat="1" ht="18" customHeight="1">
      <c r="A26" s="261"/>
      <c r="B26" s="318"/>
      <c r="C26" s="161"/>
      <c r="D26" s="181"/>
      <c r="E26" s="177"/>
      <c r="F26" s="160"/>
      <c r="G26" s="160"/>
      <c r="H26" s="163">
        <f t="shared" si="2"/>
        <v>0</v>
      </c>
      <c r="I26" s="164">
        <f t="shared" si="3"/>
        <v>0</v>
      </c>
    </row>
    <row r="27" spans="1:9" s="144" customFormat="1" ht="18" customHeight="1">
      <c r="A27" s="261"/>
      <c r="B27" s="318"/>
      <c r="C27" s="160"/>
      <c r="D27" s="181"/>
      <c r="E27" s="162"/>
      <c r="F27" s="160"/>
      <c r="G27" s="160"/>
      <c r="H27" s="163">
        <f t="shared" si="2"/>
        <v>0</v>
      </c>
      <c r="I27" s="164">
        <f t="shared" si="3"/>
        <v>0</v>
      </c>
    </row>
    <row r="28" spans="1:9" ht="24" customHeight="1">
      <c r="A28" s="1"/>
      <c r="B28" s="3"/>
      <c r="C28" s="196"/>
      <c r="D28" s="197">
        <f>SUM(D4:D27)</f>
        <v>570</v>
      </c>
      <c r="E28" s="196"/>
      <c r="F28" s="3"/>
      <c r="G28" s="198">
        <f>SUM(G4:G27)</f>
        <v>39</v>
      </c>
      <c r="H28" s="198">
        <f>SUM(H4:H27)</f>
        <v>7160000</v>
      </c>
      <c r="I28" s="19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8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workbookViewId="0" topLeftCell="A1">
      <selection activeCell="A1" sqref="A1:N28"/>
    </sheetView>
  </sheetViews>
  <sheetFormatPr defaultColWidth="9.140625" defaultRowHeight="12.75"/>
  <cols>
    <col min="1" max="1" width="25.140625" style="141" customWidth="1"/>
    <col min="2" max="2" width="7.8515625" style="142" customWidth="1"/>
    <col min="3" max="3" width="8.421875" style="143" customWidth="1"/>
    <col min="4" max="4" width="6.8515625" style="142" customWidth="1"/>
    <col min="5" max="5" width="8.140625" style="142" customWidth="1"/>
    <col min="6" max="6" width="10.140625" style="142" customWidth="1"/>
    <col min="7" max="7" width="9.140625" style="142" customWidth="1"/>
    <col min="8" max="8" width="13.421875" style="142" customWidth="1"/>
    <col min="9" max="9" width="4.8515625" style="11" customWidth="1"/>
    <col min="10" max="10" width="8.421875" style="11" customWidth="1"/>
    <col min="11" max="11" width="7.00390625" style="11" customWidth="1"/>
    <col min="12" max="12" width="7.8515625" style="11" customWidth="1"/>
    <col min="13" max="13" width="7.421875" style="11" customWidth="1"/>
    <col min="14" max="14" width="12.421875" style="11" customWidth="1"/>
    <col min="15" max="15" width="7.421875" style="11" customWidth="1"/>
    <col min="16" max="16384" width="9.140625" style="11" customWidth="1"/>
  </cols>
  <sheetData>
    <row r="1" spans="2:14" s="144" customFormat="1" ht="43.5" customHeight="1">
      <c r="B1" s="419" t="s">
        <v>131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2:14" s="144" customFormat="1" ht="29.25" customHeight="1">
      <c r="B2" s="425" t="s">
        <v>277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4" s="213" customFormat="1" ht="27" customHeight="1">
      <c r="A3" s="207" t="s">
        <v>88</v>
      </c>
      <c r="B3" s="208" t="s">
        <v>89</v>
      </c>
      <c r="C3" s="208" t="s">
        <v>121</v>
      </c>
      <c r="D3" s="208" t="s">
        <v>91</v>
      </c>
      <c r="E3" s="208" t="s">
        <v>92</v>
      </c>
      <c r="F3" s="209" t="s">
        <v>93</v>
      </c>
      <c r="G3" s="210" t="s">
        <v>94</v>
      </c>
      <c r="H3" s="211" t="s">
        <v>95</v>
      </c>
      <c r="I3" s="212"/>
      <c r="J3" s="153" t="s">
        <v>93</v>
      </c>
      <c r="K3" s="154"/>
      <c r="L3" s="155"/>
      <c r="M3" s="156" t="s">
        <v>94</v>
      </c>
      <c r="N3" s="157" t="s">
        <v>96</v>
      </c>
    </row>
    <row r="4" spans="1:14" s="169" customFormat="1" ht="18" customHeight="1">
      <c r="A4" s="278" t="s">
        <v>54</v>
      </c>
      <c r="B4" s="317">
        <v>26.7</v>
      </c>
      <c r="C4" s="160">
        <v>64</v>
      </c>
      <c r="D4" s="181">
        <v>27</v>
      </c>
      <c r="E4" s="177"/>
      <c r="F4" s="160">
        <v>1</v>
      </c>
      <c r="G4" s="160">
        <v>10</v>
      </c>
      <c r="H4" s="163">
        <f aca="true" t="shared" si="0" ref="H4:H11">N4+I4</f>
        <v>2050000</v>
      </c>
      <c r="I4" s="164">
        <f>IF(E4&gt;0,$N$13,0)+IF(C4&gt;0,50000,0)+IF(C12&lt;0,50000,0)</f>
        <v>50000</v>
      </c>
      <c r="J4" s="165" t="s">
        <v>97</v>
      </c>
      <c r="K4" s="166"/>
      <c r="L4" s="167"/>
      <c r="M4" s="168">
        <v>10</v>
      </c>
      <c r="N4" s="163">
        <f>N12*25%</f>
        <v>2000000</v>
      </c>
    </row>
    <row r="5" spans="1:14" s="169" customFormat="1" ht="18" customHeight="1">
      <c r="A5" s="261" t="s">
        <v>32</v>
      </c>
      <c r="B5" s="318">
        <v>12.6</v>
      </c>
      <c r="C5" s="160">
        <v>68</v>
      </c>
      <c r="D5" s="161">
        <v>27</v>
      </c>
      <c r="E5" s="162"/>
      <c r="F5" s="160">
        <v>2</v>
      </c>
      <c r="G5" s="160">
        <v>8</v>
      </c>
      <c r="H5" s="163">
        <f t="shared" si="0"/>
        <v>1650000</v>
      </c>
      <c r="I5" s="164">
        <f aca="true" t="shared" si="1" ref="I5:I11">IF(E5&gt;0,$N$13,0)+IF(C5&gt;0,50000,0)+IF(C13&lt;0,50000,0)</f>
        <v>50000</v>
      </c>
      <c r="J5" s="170" t="s">
        <v>98</v>
      </c>
      <c r="K5" s="171"/>
      <c r="L5" s="172"/>
      <c r="M5" s="173">
        <v>8</v>
      </c>
      <c r="N5" s="163">
        <f>N12*20%</f>
        <v>1600000</v>
      </c>
    </row>
    <row r="6" spans="1:14" s="169" customFormat="1" ht="18" customHeight="1">
      <c r="A6" s="261" t="s">
        <v>20</v>
      </c>
      <c r="B6" s="318">
        <v>14.4</v>
      </c>
      <c r="C6" s="160">
        <v>68</v>
      </c>
      <c r="D6" s="181">
        <v>23</v>
      </c>
      <c r="E6" s="162"/>
      <c r="F6" s="64">
        <v>3</v>
      </c>
      <c r="G6" s="64">
        <v>6</v>
      </c>
      <c r="H6" s="163">
        <f t="shared" si="0"/>
        <v>1250000</v>
      </c>
      <c r="I6" s="164">
        <f t="shared" si="1"/>
        <v>50000</v>
      </c>
      <c r="J6" s="170" t="s">
        <v>99</v>
      </c>
      <c r="K6" s="171"/>
      <c r="L6" s="172"/>
      <c r="M6" s="173">
        <v>6</v>
      </c>
      <c r="N6" s="163">
        <f>N12*15%</f>
        <v>1200000</v>
      </c>
    </row>
    <row r="7" spans="1:18" s="169" customFormat="1" ht="18" customHeight="1">
      <c r="A7" s="261" t="s">
        <v>14</v>
      </c>
      <c r="B7" s="318">
        <v>18.3</v>
      </c>
      <c r="C7" s="181">
        <v>70</v>
      </c>
      <c r="D7" s="161">
        <v>25</v>
      </c>
      <c r="E7" s="177"/>
      <c r="F7" s="160">
        <v>4</v>
      </c>
      <c r="G7" s="160">
        <v>5</v>
      </c>
      <c r="H7" s="163">
        <f t="shared" si="0"/>
        <v>1010000</v>
      </c>
      <c r="I7" s="164">
        <f t="shared" si="1"/>
        <v>50000</v>
      </c>
      <c r="J7" s="170" t="s">
        <v>100</v>
      </c>
      <c r="K7" s="171"/>
      <c r="L7" s="172"/>
      <c r="M7" s="173">
        <v>5</v>
      </c>
      <c r="N7" s="163">
        <f>N12*12%</f>
        <v>960000</v>
      </c>
      <c r="O7" s="175"/>
      <c r="P7" s="175"/>
      <c r="Q7" s="175"/>
      <c r="R7" s="176"/>
    </row>
    <row r="8" spans="1:14" s="169" customFormat="1" ht="18" customHeight="1">
      <c r="A8" s="261" t="s">
        <v>36</v>
      </c>
      <c r="B8" s="318">
        <v>15.8</v>
      </c>
      <c r="C8" s="160">
        <v>71</v>
      </c>
      <c r="D8" s="161">
        <v>26</v>
      </c>
      <c r="E8" s="162">
        <v>0.9</v>
      </c>
      <c r="F8" s="160">
        <v>5</v>
      </c>
      <c r="G8" s="160">
        <v>4</v>
      </c>
      <c r="H8" s="163">
        <f t="shared" si="0"/>
        <v>1330000</v>
      </c>
      <c r="I8" s="164">
        <f t="shared" si="1"/>
        <v>530000</v>
      </c>
      <c r="J8" s="170" t="s">
        <v>101</v>
      </c>
      <c r="K8" s="171"/>
      <c r="L8" s="172"/>
      <c r="M8" s="173">
        <v>4</v>
      </c>
      <c r="N8" s="163">
        <f>N12*10%</f>
        <v>800000</v>
      </c>
    </row>
    <row r="9" spans="1:14" s="169" customFormat="1" ht="18" customHeight="1">
      <c r="A9" s="261" t="s">
        <v>28</v>
      </c>
      <c r="B9" s="318">
        <v>18.6</v>
      </c>
      <c r="C9" s="64">
        <v>71</v>
      </c>
      <c r="D9" s="161">
        <v>31</v>
      </c>
      <c r="E9" s="177"/>
      <c r="F9" s="178">
        <v>6</v>
      </c>
      <c r="G9" s="178">
        <v>3</v>
      </c>
      <c r="H9" s="163">
        <f t="shared" si="0"/>
        <v>690000</v>
      </c>
      <c r="I9" s="164">
        <f>IF(E9&gt;0,$N$13,0)+IF(C9&gt;0,50000,0)+IF(C17&lt;0,50000,0)</f>
        <v>50000</v>
      </c>
      <c r="J9" s="170" t="s">
        <v>102</v>
      </c>
      <c r="K9" s="171"/>
      <c r="L9" s="172"/>
      <c r="M9" s="173">
        <v>3</v>
      </c>
      <c r="N9" s="163">
        <f>N12*8%</f>
        <v>640000</v>
      </c>
    </row>
    <row r="10" spans="1:14" s="169" customFormat="1" ht="18" customHeight="1">
      <c r="A10" s="261" t="s">
        <v>56</v>
      </c>
      <c r="B10" s="318">
        <v>13.8</v>
      </c>
      <c r="C10" s="161">
        <v>72</v>
      </c>
      <c r="D10" s="181">
        <v>31</v>
      </c>
      <c r="E10" s="162"/>
      <c r="F10" s="160">
        <v>7</v>
      </c>
      <c r="G10" s="160">
        <v>2</v>
      </c>
      <c r="H10" s="163">
        <f t="shared" si="0"/>
        <v>530000</v>
      </c>
      <c r="I10" s="164">
        <f t="shared" si="1"/>
        <v>50000</v>
      </c>
      <c r="J10" s="170" t="s">
        <v>103</v>
      </c>
      <c r="K10" s="171"/>
      <c r="L10" s="172"/>
      <c r="M10" s="173">
        <v>2</v>
      </c>
      <c r="N10" s="163">
        <f>N12*6%</f>
        <v>480000</v>
      </c>
    </row>
    <row r="11" spans="1:14" s="169" customFormat="1" ht="18" customHeight="1">
      <c r="A11" s="261" t="s">
        <v>30</v>
      </c>
      <c r="B11" s="318">
        <v>11.5</v>
      </c>
      <c r="C11" s="160">
        <v>73</v>
      </c>
      <c r="D11" s="161">
        <v>34</v>
      </c>
      <c r="E11" s="162"/>
      <c r="F11" s="160">
        <v>8</v>
      </c>
      <c r="G11" s="160">
        <v>1</v>
      </c>
      <c r="H11" s="163">
        <f t="shared" si="0"/>
        <v>370000</v>
      </c>
      <c r="I11" s="164">
        <f t="shared" si="1"/>
        <v>50000</v>
      </c>
      <c r="J11" s="170" t="s">
        <v>104</v>
      </c>
      <c r="K11" s="171"/>
      <c r="L11" s="172"/>
      <c r="M11" s="173">
        <v>1</v>
      </c>
      <c r="N11" s="163">
        <f>N12*4%</f>
        <v>320000</v>
      </c>
    </row>
    <row r="12" spans="1:14" s="169" customFormat="1" ht="18" customHeight="1">
      <c r="A12" s="261" t="s">
        <v>46</v>
      </c>
      <c r="B12" s="318">
        <v>14.7</v>
      </c>
      <c r="C12" s="160">
        <v>73</v>
      </c>
      <c r="D12" s="161">
        <v>30</v>
      </c>
      <c r="E12" s="162"/>
      <c r="F12" s="160"/>
      <c r="G12" s="160"/>
      <c r="H12" s="163">
        <f aca="true" t="shared" si="2" ref="H12:H27">I12</f>
        <v>50000</v>
      </c>
      <c r="I12" s="164">
        <f aca="true" t="shared" si="3" ref="I12:I27">IF(E12&gt;0,$N$13,0)+IF(C12&gt;0,50000,0)+IF(C12&lt;0,50000,0)</f>
        <v>50000</v>
      </c>
      <c r="J12" s="179" t="s">
        <v>105</v>
      </c>
      <c r="K12" s="171"/>
      <c r="L12" s="172"/>
      <c r="M12" s="173"/>
      <c r="N12" s="180">
        <v>8000000</v>
      </c>
    </row>
    <row r="13" spans="1:14" s="169" customFormat="1" ht="18" customHeight="1">
      <c r="A13" s="261" t="s">
        <v>44</v>
      </c>
      <c r="B13" s="318">
        <v>17.6</v>
      </c>
      <c r="C13" s="161">
        <v>74</v>
      </c>
      <c r="D13" s="161">
        <v>31</v>
      </c>
      <c r="E13" s="162"/>
      <c r="F13" s="160"/>
      <c r="G13" s="160"/>
      <c r="H13" s="163">
        <f t="shared" si="2"/>
        <v>50000</v>
      </c>
      <c r="I13" s="164">
        <f t="shared" si="3"/>
        <v>50000</v>
      </c>
      <c r="J13" s="182" t="s">
        <v>106</v>
      </c>
      <c r="K13" s="183"/>
      <c r="L13" s="184"/>
      <c r="M13" s="185">
        <v>1</v>
      </c>
      <c r="N13" s="186">
        <f>N10</f>
        <v>480000</v>
      </c>
    </row>
    <row r="14" spans="1:14" s="169" customFormat="1" ht="18" customHeight="1">
      <c r="A14" s="261" t="s">
        <v>40</v>
      </c>
      <c r="B14" s="318">
        <v>14.8</v>
      </c>
      <c r="C14" s="64">
        <v>75</v>
      </c>
      <c r="D14" s="181">
        <v>30</v>
      </c>
      <c r="E14" s="177"/>
      <c r="F14" s="160"/>
      <c r="G14" s="160"/>
      <c r="H14" s="163">
        <f t="shared" si="2"/>
        <v>50000</v>
      </c>
      <c r="I14" s="164">
        <f t="shared" si="3"/>
        <v>50000</v>
      </c>
      <c r="J14" s="187"/>
      <c r="K14" s="183"/>
      <c r="L14" s="183"/>
      <c r="M14" s="188"/>
      <c r="N14" s="189"/>
    </row>
    <row r="15" spans="1:14" s="169" customFormat="1" ht="18" customHeight="1">
      <c r="A15" s="261" t="s">
        <v>48</v>
      </c>
      <c r="B15" s="318">
        <v>21.6</v>
      </c>
      <c r="C15" s="160">
        <v>75</v>
      </c>
      <c r="D15" s="181">
        <v>32</v>
      </c>
      <c r="E15" s="162"/>
      <c r="F15" s="160"/>
      <c r="G15" s="160"/>
      <c r="H15" s="163">
        <f t="shared" si="2"/>
        <v>50000</v>
      </c>
      <c r="I15" s="164">
        <f t="shared" si="3"/>
        <v>50000</v>
      </c>
      <c r="J15" s="190"/>
      <c r="K15" s="191"/>
      <c r="L15" s="191"/>
      <c r="M15" s="192"/>
      <c r="N15" s="193"/>
    </row>
    <row r="16" spans="1:9" s="169" customFormat="1" ht="18" customHeight="1">
      <c r="A16" s="261" t="s">
        <v>38</v>
      </c>
      <c r="B16" s="318">
        <v>22.1</v>
      </c>
      <c r="C16" s="160">
        <v>77</v>
      </c>
      <c r="D16" s="161">
        <v>31</v>
      </c>
      <c r="E16" s="162"/>
      <c r="F16" s="64"/>
      <c r="G16" s="64"/>
      <c r="H16" s="163">
        <f t="shared" si="2"/>
        <v>50000</v>
      </c>
      <c r="I16" s="164">
        <f t="shared" si="3"/>
        <v>50000</v>
      </c>
    </row>
    <row r="17" spans="1:18" s="169" customFormat="1" ht="18" customHeight="1">
      <c r="A17" s="261" t="s">
        <v>24</v>
      </c>
      <c r="B17" s="318">
        <v>14.8</v>
      </c>
      <c r="C17" s="161">
        <v>78</v>
      </c>
      <c r="D17" s="161">
        <v>33</v>
      </c>
      <c r="E17" s="162"/>
      <c r="F17" s="64"/>
      <c r="G17" s="64"/>
      <c r="H17" s="163">
        <f t="shared" si="2"/>
        <v>50000</v>
      </c>
      <c r="I17" s="164">
        <f t="shared" si="3"/>
        <v>50000</v>
      </c>
      <c r="O17" s="175"/>
      <c r="P17" s="175"/>
      <c r="Q17" s="175"/>
      <c r="R17" s="176"/>
    </row>
    <row r="18" spans="1:12" s="169" customFormat="1" ht="18" customHeight="1">
      <c r="A18" s="261" t="s">
        <v>50</v>
      </c>
      <c r="B18" s="318">
        <v>7.3</v>
      </c>
      <c r="C18" s="160">
        <v>80</v>
      </c>
      <c r="D18" s="181">
        <v>31</v>
      </c>
      <c r="E18" s="177"/>
      <c r="F18" s="160"/>
      <c r="G18" s="160"/>
      <c r="H18" s="163">
        <f t="shared" si="2"/>
        <v>50000</v>
      </c>
      <c r="I18" s="164">
        <f t="shared" si="3"/>
        <v>50000</v>
      </c>
      <c r="J18" s="176"/>
      <c r="K18" s="176"/>
      <c r="L18" s="176"/>
    </row>
    <row r="19" spans="1:12" s="169" customFormat="1" ht="18" customHeight="1">
      <c r="A19" s="261" t="s">
        <v>12</v>
      </c>
      <c r="B19" s="318">
        <v>12.2</v>
      </c>
      <c r="C19" s="160">
        <v>80</v>
      </c>
      <c r="D19" s="181">
        <v>36</v>
      </c>
      <c r="E19" s="162"/>
      <c r="F19" s="160"/>
      <c r="G19" s="160"/>
      <c r="H19" s="163">
        <f t="shared" si="2"/>
        <v>50000</v>
      </c>
      <c r="I19" s="164">
        <f t="shared" si="3"/>
        <v>50000</v>
      </c>
      <c r="J19" s="176"/>
      <c r="K19" s="176"/>
      <c r="L19" s="176"/>
    </row>
    <row r="20" spans="1:9" s="144" customFormat="1" ht="18" customHeight="1">
      <c r="A20" s="261" t="s">
        <v>16</v>
      </c>
      <c r="B20" s="318">
        <v>9.5</v>
      </c>
      <c r="C20" s="160">
        <v>81</v>
      </c>
      <c r="D20" s="161">
        <v>31</v>
      </c>
      <c r="E20" s="162"/>
      <c r="F20" s="64"/>
      <c r="G20" s="64"/>
      <c r="H20" s="163">
        <f t="shared" si="2"/>
        <v>50000</v>
      </c>
      <c r="I20" s="164">
        <f t="shared" si="3"/>
        <v>50000</v>
      </c>
    </row>
    <row r="21" spans="1:9" s="144" customFormat="1" ht="18" customHeight="1">
      <c r="A21" s="261" t="s">
        <v>18</v>
      </c>
      <c r="B21" s="318">
        <v>17.8</v>
      </c>
      <c r="C21" s="161">
        <v>81</v>
      </c>
      <c r="D21" s="161">
        <v>36</v>
      </c>
      <c r="E21" s="177"/>
      <c r="F21" s="64"/>
      <c r="G21" s="64"/>
      <c r="H21" s="163">
        <f t="shared" si="2"/>
        <v>50000</v>
      </c>
      <c r="I21" s="164">
        <f t="shared" si="3"/>
        <v>50000</v>
      </c>
    </row>
    <row r="22" spans="1:9" s="144" customFormat="1" ht="18" customHeight="1">
      <c r="A22" s="261" t="s">
        <v>42</v>
      </c>
      <c r="B22" s="318">
        <v>24.9</v>
      </c>
      <c r="C22" s="160">
        <v>94</v>
      </c>
      <c r="D22" s="161">
        <v>37</v>
      </c>
      <c r="E22" s="177"/>
      <c r="F22" s="64"/>
      <c r="G22" s="64"/>
      <c r="H22" s="163">
        <f t="shared" si="2"/>
        <v>50000</v>
      </c>
      <c r="I22" s="164">
        <f t="shared" si="3"/>
        <v>50000</v>
      </c>
    </row>
    <row r="23" spans="1:9" s="144" customFormat="1" ht="18" customHeight="1">
      <c r="A23" s="261"/>
      <c r="B23" s="318"/>
      <c r="C23" s="160"/>
      <c r="D23" s="161"/>
      <c r="E23" s="177"/>
      <c r="F23" s="64"/>
      <c r="G23" s="64"/>
      <c r="H23" s="163">
        <f t="shared" si="2"/>
        <v>0</v>
      </c>
      <c r="I23" s="164">
        <f>IF(E23&gt;0,$N$13,0)+IF(C23&gt;0,50000,0)+IF(C23&lt;0,50000,0)</f>
        <v>0</v>
      </c>
    </row>
    <row r="24" spans="1:9" s="144" customFormat="1" ht="18" customHeight="1">
      <c r="A24" s="261"/>
      <c r="B24" s="318"/>
      <c r="C24" s="161"/>
      <c r="D24" s="161"/>
      <c r="E24" s="162"/>
      <c r="F24" s="64"/>
      <c r="G24" s="64"/>
      <c r="H24" s="163">
        <f t="shared" si="2"/>
        <v>0</v>
      </c>
      <c r="I24" s="164">
        <f t="shared" si="3"/>
        <v>0</v>
      </c>
    </row>
    <row r="25" spans="1:9" s="144" customFormat="1" ht="18" customHeight="1">
      <c r="A25" s="261"/>
      <c r="B25" s="318"/>
      <c r="C25" s="160"/>
      <c r="D25" s="161"/>
      <c r="E25" s="162"/>
      <c r="F25" s="64"/>
      <c r="G25" s="64"/>
      <c r="H25" s="163">
        <f t="shared" si="2"/>
        <v>0</v>
      </c>
      <c r="I25" s="164">
        <f t="shared" si="3"/>
        <v>0</v>
      </c>
    </row>
    <row r="26" spans="1:9" s="144" customFormat="1" ht="18" customHeight="1">
      <c r="A26" s="261"/>
      <c r="B26" s="318"/>
      <c r="C26" s="161"/>
      <c r="D26" s="181"/>
      <c r="E26" s="162"/>
      <c r="F26" s="160"/>
      <c r="G26" s="160"/>
      <c r="H26" s="163">
        <f t="shared" si="2"/>
        <v>0</v>
      </c>
      <c r="I26" s="164">
        <f t="shared" si="3"/>
        <v>0</v>
      </c>
    </row>
    <row r="27" spans="1:9" s="144" customFormat="1" ht="18" customHeight="1">
      <c r="A27" s="261"/>
      <c r="B27" s="318"/>
      <c r="C27" s="160"/>
      <c r="D27" s="161"/>
      <c r="E27" s="162"/>
      <c r="F27" s="160"/>
      <c r="G27" s="160"/>
      <c r="H27" s="163">
        <f t="shared" si="2"/>
        <v>0</v>
      </c>
      <c r="I27" s="164">
        <f t="shared" si="3"/>
        <v>0</v>
      </c>
    </row>
    <row r="28" spans="1:9" ht="24" customHeight="1">
      <c r="A28" s="1"/>
      <c r="B28" s="3"/>
      <c r="C28" s="196"/>
      <c r="D28" s="197">
        <f>SUM(D4:D27)</f>
        <v>582</v>
      </c>
      <c r="E28" s="196"/>
      <c r="F28" s="3"/>
      <c r="G28" s="198">
        <f>SUM(G4:G27)</f>
        <v>39</v>
      </c>
      <c r="H28" s="198">
        <f>SUM(H4:H27)</f>
        <v>9430000</v>
      </c>
      <c r="I28" s="19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8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workbookViewId="0" topLeftCell="A1">
      <selection activeCell="A1" sqref="A1:N28"/>
    </sheetView>
  </sheetViews>
  <sheetFormatPr defaultColWidth="9.140625" defaultRowHeight="12.75"/>
  <cols>
    <col min="1" max="1" width="25.140625" style="141" customWidth="1"/>
    <col min="2" max="2" width="7.8515625" style="142" customWidth="1"/>
    <col min="3" max="3" width="8.421875" style="143" customWidth="1"/>
    <col min="4" max="4" width="6.8515625" style="142" customWidth="1"/>
    <col min="5" max="5" width="8.140625" style="142" customWidth="1"/>
    <col min="6" max="6" width="10.140625" style="142" customWidth="1"/>
    <col min="7" max="7" width="9.140625" style="142" customWidth="1"/>
    <col min="8" max="8" width="13.421875" style="142" customWidth="1"/>
    <col min="9" max="9" width="4.8515625" style="11" customWidth="1"/>
    <col min="10" max="10" width="8.421875" style="11" customWidth="1"/>
    <col min="11" max="11" width="7.00390625" style="11" customWidth="1"/>
    <col min="12" max="12" width="7.8515625" style="11" customWidth="1"/>
    <col min="13" max="13" width="7.421875" style="11" customWidth="1"/>
    <col min="14" max="14" width="12.421875" style="11" customWidth="1"/>
    <col min="15" max="15" width="7.421875" style="11" customWidth="1"/>
    <col min="16" max="16384" width="9.140625" style="11" customWidth="1"/>
  </cols>
  <sheetData>
    <row r="1" spans="2:14" s="144" customFormat="1" ht="43.5" customHeight="1">
      <c r="B1" s="419" t="s">
        <v>132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2:14" s="144" customFormat="1" ht="29.25" customHeight="1">
      <c r="B2" s="425" t="s">
        <v>260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4" s="158" customFormat="1" ht="27" customHeight="1">
      <c r="A3" s="147" t="s">
        <v>88</v>
      </c>
      <c r="B3" s="148" t="s">
        <v>89</v>
      </c>
      <c r="C3" s="148" t="s">
        <v>90</v>
      </c>
      <c r="D3" s="148" t="s">
        <v>91</v>
      </c>
      <c r="E3" s="148" t="s">
        <v>92</v>
      </c>
      <c r="F3" s="149" t="s">
        <v>93</v>
      </c>
      <c r="G3" s="150" t="s">
        <v>94</v>
      </c>
      <c r="H3" s="151" t="s">
        <v>95</v>
      </c>
      <c r="I3" s="152"/>
      <c r="J3" s="153" t="s">
        <v>93</v>
      </c>
      <c r="K3" s="154"/>
      <c r="L3" s="155"/>
      <c r="M3" s="156" t="s">
        <v>94</v>
      </c>
      <c r="N3" s="157" t="s">
        <v>96</v>
      </c>
    </row>
    <row r="4" spans="1:14" s="169" customFormat="1" ht="18" customHeight="1">
      <c r="A4" s="278" t="s">
        <v>36</v>
      </c>
      <c r="B4" s="317">
        <v>15.8</v>
      </c>
      <c r="C4" s="161">
        <v>36</v>
      </c>
      <c r="D4" s="161">
        <v>29</v>
      </c>
      <c r="E4" s="177"/>
      <c r="F4" s="160">
        <v>1</v>
      </c>
      <c r="G4" s="160">
        <v>10</v>
      </c>
      <c r="H4" s="163">
        <f aca="true" t="shared" si="0" ref="H4:H11">N4+I4</f>
        <v>1550000</v>
      </c>
      <c r="I4" s="164">
        <f aca="true" t="shared" si="1" ref="I4:I11">IF(E4&gt;0,$N$13,0)+IF(C4&gt;0,50000,0)+IF(C12&lt;0,50000,0)</f>
        <v>50000</v>
      </c>
      <c r="J4" s="165" t="s">
        <v>97</v>
      </c>
      <c r="K4" s="166"/>
      <c r="L4" s="167"/>
      <c r="M4" s="168">
        <v>10</v>
      </c>
      <c r="N4" s="163">
        <f>N12*25%</f>
        <v>1500000</v>
      </c>
    </row>
    <row r="5" spans="1:14" s="169" customFormat="1" ht="18" customHeight="1">
      <c r="A5" s="261" t="s">
        <v>32</v>
      </c>
      <c r="B5" s="318">
        <v>14.1</v>
      </c>
      <c r="C5" s="160">
        <v>35</v>
      </c>
      <c r="D5" s="181">
        <v>32</v>
      </c>
      <c r="E5" s="177" t="s">
        <v>272</v>
      </c>
      <c r="F5" s="160">
        <v>2</v>
      </c>
      <c r="G5" s="160">
        <v>8</v>
      </c>
      <c r="H5" s="163">
        <f t="shared" si="0"/>
        <v>1350000</v>
      </c>
      <c r="I5" s="164">
        <f>IF(C5&gt;0,50000,0)+IF(C13&lt;0,50000,0)+100000</f>
        <v>150000</v>
      </c>
      <c r="J5" s="170" t="s">
        <v>98</v>
      </c>
      <c r="K5" s="171"/>
      <c r="L5" s="172"/>
      <c r="M5" s="173">
        <v>8</v>
      </c>
      <c r="N5" s="163">
        <f>N12*20%</f>
        <v>1200000</v>
      </c>
    </row>
    <row r="6" spans="1:14" s="169" customFormat="1" ht="18" customHeight="1">
      <c r="A6" s="261" t="s">
        <v>50</v>
      </c>
      <c r="B6" s="318">
        <v>7.3</v>
      </c>
      <c r="C6" s="160">
        <v>34</v>
      </c>
      <c r="D6" s="161">
        <v>34</v>
      </c>
      <c r="E6" s="162" t="s">
        <v>273</v>
      </c>
      <c r="F6" s="64">
        <v>3</v>
      </c>
      <c r="G6" s="64">
        <v>6</v>
      </c>
      <c r="H6" s="163">
        <f t="shared" si="0"/>
        <v>1150000</v>
      </c>
      <c r="I6" s="164">
        <f>IF(C6&gt;0,50000,0)+IF(C14&lt;0,50000,0)+200000</f>
        <v>250000</v>
      </c>
      <c r="J6" s="170" t="s">
        <v>99</v>
      </c>
      <c r="K6" s="171"/>
      <c r="L6" s="172"/>
      <c r="M6" s="173">
        <v>6</v>
      </c>
      <c r="N6" s="163">
        <f>N12*15%</f>
        <v>900000</v>
      </c>
    </row>
    <row r="7" spans="1:18" s="169" customFormat="1" ht="18" customHeight="1">
      <c r="A7" s="261" t="s">
        <v>16</v>
      </c>
      <c r="B7" s="318">
        <v>9.5</v>
      </c>
      <c r="C7" s="161">
        <v>34</v>
      </c>
      <c r="D7" s="161">
        <v>32</v>
      </c>
      <c r="E7" s="177">
        <v>2.16</v>
      </c>
      <c r="F7" s="160">
        <v>4</v>
      </c>
      <c r="G7" s="160">
        <v>5</v>
      </c>
      <c r="H7" s="163">
        <f t="shared" si="0"/>
        <v>1130000</v>
      </c>
      <c r="I7" s="164">
        <f t="shared" si="1"/>
        <v>410000</v>
      </c>
      <c r="J7" s="170" t="s">
        <v>100</v>
      </c>
      <c r="K7" s="171"/>
      <c r="L7" s="172"/>
      <c r="M7" s="173">
        <v>5</v>
      </c>
      <c r="N7" s="163">
        <f>N12*12%</f>
        <v>720000</v>
      </c>
      <c r="O7" s="175"/>
      <c r="P7" s="175"/>
      <c r="Q7" s="175"/>
      <c r="R7" s="176"/>
    </row>
    <row r="8" spans="1:14" s="169" customFormat="1" ht="18" customHeight="1">
      <c r="A8" s="261" t="s">
        <v>30</v>
      </c>
      <c r="B8" s="318">
        <v>11.5</v>
      </c>
      <c r="C8" s="160">
        <v>33</v>
      </c>
      <c r="D8" s="161">
        <v>29</v>
      </c>
      <c r="E8" s="162"/>
      <c r="F8" s="160">
        <v>5</v>
      </c>
      <c r="G8" s="160">
        <v>4</v>
      </c>
      <c r="H8" s="163">
        <f t="shared" si="0"/>
        <v>650000</v>
      </c>
      <c r="I8" s="164">
        <f t="shared" si="1"/>
        <v>50000</v>
      </c>
      <c r="J8" s="170" t="s">
        <v>101</v>
      </c>
      <c r="K8" s="171"/>
      <c r="L8" s="172"/>
      <c r="M8" s="173">
        <v>4</v>
      </c>
      <c r="N8" s="163">
        <f>N12*10%</f>
        <v>600000</v>
      </c>
    </row>
    <row r="9" spans="1:14" s="169" customFormat="1" ht="18" customHeight="1">
      <c r="A9" s="261" t="s">
        <v>42</v>
      </c>
      <c r="B9" s="318">
        <v>24.9</v>
      </c>
      <c r="C9" s="160">
        <v>33</v>
      </c>
      <c r="D9" s="181">
        <v>36</v>
      </c>
      <c r="E9" s="177"/>
      <c r="F9" s="178">
        <v>6</v>
      </c>
      <c r="G9" s="178">
        <v>3</v>
      </c>
      <c r="H9" s="163">
        <f t="shared" si="0"/>
        <v>530000</v>
      </c>
      <c r="I9" s="164">
        <f t="shared" si="1"/>
        <v>50000</v>
      </c>
      <c r="J9" s="170" t="s">
        <v>102</v>
      </c>
      <c r="K9" s="171"/>
      <c r="L9" s="172"/>
      <c r="M9" s="173">
        <v>3</v>
      </c>
      <c r="N9" s="163">
        <f>N12*8%</f>
        <v>480000</v>
      </c>
    </row>
    <row r="10" spans="1:14" s="169" customFormat="1" ht="18" customHeight="1">
      <c r="A10" s="261" t="s">
        <v>34</v>
      </c>
      <c r="B10" s="318">
        <v>14</v>
      </c>
      <c r="C10" s="160">
        <v>32</v>
      </c>
      <c r="D10" s="161">
        <v>33</v>
      </c>
      <c r="E10" s="162" t="s">
        <v>274</v>
      </c>
      <c r="F10" s="160">
        <v>7</v>
      </c>
      <c r="G10" s="160">
        <v>2</v>
      </c>
      <c r="H10" s="163">
        <f t="shared" si="0"/>
        <v>510000</v>
      </c>
      <c r="I10" s="164">
        <f>IF(C10&gt;0,50000,0)+IF(C18&lt;0,50000,0)+100000</f>
        <v>150000</v>
      </c>
      <c r="J10" s="170" t="s">
        <v>103</v>
      </c>
      <c r="K10" s="171"/>
      <c r="L10" s="172"/>
      <c r="M10" s="173">
        <v>2</v>
      </c>
      <c r="N10" s="163">
        <f>N12*6%</f>
        <v>360000</v>
      </c>
    </row>
    <row r="11" spans="1:14" s="169" customFormat="1" ht="18" customHeight="1">
      <c r="A11" s="261" t="s">
        <v>44</v>
      </c>
      <c r="B11" s="318">
        <v>17.5</v>
      </c>
      <c r="C11" s="160">
        <v>31</v>
      </c>
      <c r="D11" s="181">
        <v>35</v>
      </c>
      <c r="E11" s="177"/>
      <c r="F11" s="160">
        <v>8</v>
      </c>
      <c r="G11" s="160">
        <v>1</v>
      </c>
      <c r="H11" s="163">
        <f t="shared" si="0"/>
        <v>290000</v>
      </c>
      <c r="I11" s="164">
        <f t="shared" si="1"/>
        <v>50000</v>
      </c>
      <c r="J11" s="170" t="s">
        <v>104</v>
      </c>
      <c r="K11" s="171"/>
      <c r="L11" s="172"/>
      <c r="M11" s="173">
        <v>1</v>
      </c>
      <c r="N11" s="163">
        <f>N12*4%</f>
        <v>240000</v>
      </c>
    </row>
    <row r="12" spans="1:14" s="169" customFormat="1" ht="18" customHeight="1">
      <c r="A12" s="261" t="s">
        <v>48</v>
      </c>
      <c r="B12" s="318">
        <v>21.5</v>
      </c>
      <c r="C12" s="160">
        <v>31</v>
      </c>
      <c r="D12" s="161">
        <v>32</v>
      </c>
      <c r="E12" s="162"/>
      <c r="F12" s="160"/>
      <c r="G12" s="160"/>
      <c r="H12" s="163">
        <f aca="true" t="shared" si="2" ref="H12:H27">I12</f>
        <v>50000</v>
      </c>
      <c r="I12" s="164">
        <f aca="true" t="shared" si="3" ref="I12:I27">IF(E12&gt;0,$N$13,0)+IF(C12&gt;0,50000,0)+IF(C12&lt;0,50000,0)</f>
        <v>50000</v>
      </c>
      <c r="J12" s="179" t="s">
        <v>105</v>
      </c>
      <c r="K12" s="171"/>
      <c r="L12" s="172"/>
      <c r="M12" s="173"/>
      <c r="N12" s="180">
        <v>6000000</v>
      </c>
    </row>
    <row r="13" spans="1:14" s="169" customFormat="1" ht="18" customHeight="1">
      <c r="A13" s="261" t="s">
        <v>40</v>
      </c>
      <c r="B13" s="318">
        <v>14.7</v>
      </c>
      <c r="C13" s="161">
        <v>30</v>
      </c>
      <c r="D13" s="181">
        <v>33</v>
      </c>
      <c r="E13" s="162" t="s">
        <v>274</v>
      </c>
      <c r="F13" s="160"/>
      <c r="G13" s="160"/>
      <c r="H13" s="163">
        <f t="shared" si="2"/>
        <v>150000</v>
      </c>
      <c r="I13" s="164">
        <f>IF(C13&gt;0,50000,0)+IF(C21&lt;0,50000,0)+100000</f>
        <v>150000</v>
      </c>
      <c r="J13" s="182" t="s">
        <v>106</v>
      </c>
      <c r="K13" s="183"/>
      <c r="L13" s="184"/>
      <c r="M13" s="185">
        <v>1</v>
      </c>
      <c r="N13" s="186">
        <f>N10</f>
        <v>360000</v>
      </c>
    </row>
    <row r="14" spans="1:14" s="169" customFormat="1" ht="18" customHeight="1">
      <c r="A14" s="261" t="s">
        <v>52</v>
      </c>
      <c r="B14" s="318">
        <v>10.5</v>
      </c>
      <c r="C14" s="160">
        <v>29</v>
      </c>
      <c r="D14" s="181">
        <v>35</v>
      </c>
      <c r="E14" s="162"/>
      <c r="F14" s="160"/>
      <c r="G14" s="160"/>
      <c r="H14" s="163">
        <f t="shared" si="2"/>
        <v>50000</v>
      </c>
      <c r="I14" s="164">
        <f t="shared" si="3"/>
        <v>50000</v>
      </c>
      <c r="J14" s="187"/>
      <c r="K14" s="183"/>
      <c r="L14" s="183"/>
      <c r="M14" s="188"/>
      <c r="N14" s="189"/>
    </row>
    <row r="15" spans="1:14" s="169" customFormat="1" ht="18" customHeight="1">
      <c r="A15" s="261" t="s">
        <v>46</v>
      </c>
      <c r="B15" s="318">
        <v>14.6</v>
      </c>
      <c r="C15" s="64">
        <v>29</v>
      </c>
      <c r="D15" s="161">
        <v>32</v>
      </c>
      <c r="E15" s="162"/>
      <c r="F15" s="160"/>
      <c r="G15" s="160"/>
      <c r="H15" s="163">
        <f t="shared" si="2"/>
        <v>50000</v>
      </c>
      <c r="I15" s="164">
        <f t="shared" si="3"/>
        <v>50000</v>
      </c>
      <c r="J15" s="190"/>
      <c r="K15" s="191"/>
      <c r="L15" s="191"/>
      <c r="M15" s="192"/>
      <c r="N15" s="193"/>
    </row>
    <row r="16" spans="1:9" s="169" customFormat="1" ht="18" customHeight="1">
      <c r="A16" s="261" t="s">
        <v>24</v>
      </c>
      <c r="B16" s="318">
        <v>15</v>
      </c>
      <c r="C16" s="160">
        <v>29</v>
      </c>
      <c r="D16" s="161">
        <v>36</v>
      </c>
      <c r="E16" s="177"/>
      <c r="F16" s="64"/>
      <c r="G16" s="64"/>
      <c r="H16" s="163">
        <f t="shared" si="2"/>
        <v>50000</v>
      </c>
      <c r="I16" s="164">
        <f t="shared" si="3"/>
        <v>50000</v>
      </c>
    </row>
    <row r="17" spans="1:13" s="169" customFormat="1" ht="18" customHeight="1">
      <c r="A17" s="261" t="s">
        <v>56</v>
      </c>
      <c r="B17" s="318">
        <v>13.7</v>
      </c>
      <c r="C17" s="160">
        <v>28</v>
      </c>
      <c r="D17" s="161">
        <v>35</v>
      </c>
      <c r="E17" s="162"/>
      <c r="F17" s="64"/>
      <c r="G17" s="64"/>
      <c r="H17" s="163">
        <f t="shared" si="2"/>
        <v>50000</v>
      </c>
      <c r="I17" s="164">
        <f t="shared" si="3"/>
        <v>50000</v>
      </c>
      <c r="J17" s="175"/>
      <c r="K17" s="175"/>
      <c r="L17" s="175"/>
      <c r="M17" s="176"/>
    </row>
    <row r="18" spans="1:13" s="169" customFormat="1" ht="18" customHeight="1">
      <c r="A18" s="261" t="s">
        <v>38</v>
      </c>
      <c r="B18" s="318">
        <v>22</v>
      </c>
      <c r="C18" s="160">
        <v>27</v>
      </c>
      <c r="D18" s="161">
        <v>32</v>
      </c>
      <c r="E18" s="162"/>
      <c r="F18" s="160"/>
      <c r="G18" s="160"/>
      <c r="H18" s="163">
        <f t="shared" si="2"/>
        <v>50000</v>
      </c>
      <c r="I18" s="164">
        <f t="shared" si="3"/>
        <v>50000</v>
      </c>
      <c r="J18" s="176"/>
      <c r="K18" s="176"/>
      <c r="L18" s="176"/>
      <c r="M18" s="176"/>
    </row>
    <row r="19" spans="1:13" s="169" customFormat="1" ht="18" customHeight="1">
      <c r="A19" s="261" t="s">
        <v>28</v>
      </c>
      <c r="B19" s="318">
        <v>18.5</v>
      </c>
      <c r="C19" s="181">
        <v>19</v>
      </c>
      <c r="D19" s="161">
        <v>42</v>
      </c>
      <c r="E19" s="177"/>
      <c r="F19" s="160"/>
      <c r="G19" s="160"/>
      <c r="H19" s="163">
        <f t="shared" si="2"/>
        <v>50000</v>
      </c>
      <c r="I19" s="164">
        <f t="shared" si="3"/>
        <v>50000</v>
      </c>
      <c r="J19" s="176"/>
      <c r="K19" s="176"/>
      <c r="L19" s="176"/>
      <c r="M19" s="176"/>
    </row>
    <row r="20" spans="1:9" s="144" customFormat="1" ht="18" customHeight="1">
      <c r="A20" s="261" t="s">
        <v>54</v>
      </c>
      <c r="B20" s="318">
        <v>26.5</v>
      </c>
      <c r="C20" s="160">
        <v>15</v>
      </c>
      <c r="D20" s="181">
        <v>44</v>
      </c>
      <c r="E20" s="162"/>
      <c r="F20" s="64"/>
      <c r="G20" s="64"/>
      <c r="H20" s="163">
        <f t="shared" si="2"/>
        <v>50000</v>
      </c>
      <c r="I20" s="164">
        <f t="shared" si="3"/>
        <v>50000</v>
      </c>
    </row>
    <row r="21" spans="1:9" s="144" customFormat="1" ht="18" customHeight="1">
      <c r="A21" s="261"/>
      <c r="B21" s="318"/>
      <c r="C21" s="64"/>
      <c r="D21" s="181"/>
      <c r="E21" s="162"/>
      <c r="F21" s="64"/>
      <c r="G21" s="64"/>
      <c r="H21" s="163">
        <f t="shared" si="2"/>
        <v>0</v>
      </c>
      <c r="I21" s="164">
        <f t="shared" si="3"/>
        <v>0</v>
      </c>
    </row>
    <row r="22" spans="1:9" s="144" customFormat="1" ht="18" customHeight="1">
      <c r="A22" s="261"/>
      <c r="B22" s="318"/>
      <c r="C22" s="161"/>
      <c r="D22" s="161"/>
      <c r="E22" s="162"/>
      <c r="F22" s="64"/>
      <c r="G22" s="64"/>
      <c r="H22" s="163">
        <f t="shared" si="2"/>
        <v>0</v>
      </c>
      <c r="I22" s="164">
        <f t="shared" si="3"/>
        <v>0</v>
      </c>
    </row>
    <row r="23" spans="1:9" s="144" customFormat="1" ht="18" customHeight="1">
      <c r="A23" s="261"/>
      <c r="B23" s="318"/>
      <c r="C23" s="160"/>
      <c r="D23" s="161"/>
      <c r="E23" s="162"/>
      <c r="F23" s="64"/>
      <c r="G23" s="64"/>
      <c r="H23" s="163">
        <f t="shared" si="2"/>
        <v>0</v>
      </c>
      <c r="I23" s="164">
        <f t="shared" si="3"/>
        <v>0</v>
      </c>
    </row>
    <row r="24" spans="1:9" s="144" customFormat="1" ht="18" customHeight="1">
      <c r="A24" s="261"/>
      <c r="B24" s="318"/>
      <c r="C24" s="160"/>
      <c r="D24" s="161"/>
      <c r="E24" s="162"/>
      <c r="F24" s="64"/>
      <c r="G24" s="64"/>
      <c r="H24" s="163">
        <f t="shared" si="2"/>
        <v>0</v>
      </c>
      <c r="I24" s="164">
        <f t="shared" si="3"/>
        <v>0</v>
      </c>
    </row>
    <row r="25" spans="1:9" s="144" customFormat="1" ht="18" customHeight="1">
      <c r="A25" s="261"/>
      <c r="B25" s="318"/>
      <c r="C25" s="161"/>
      <c r="D25" s="161"/>
      <c r="E25" s="162"/>
      <c r="F25" s="64"/>
      <c r="G25" s="64"/>
      <c r="H25" s="163">
        <f t="shared" si="2"/>
        <v>0</v>
      </c>
      <c r="I25" s="164">
        <f t="shared" si="3"/>
        <v>0</v>
      </c>
    </row>
    <row r="26" spans="1:9" s="144" customFormat="1" ht="18" customHeight="1">
      <c r="A26" s="261"/>
      <c r="B26" s="318"/>
      <c r="C26" s="160"/>
      <c r="D26" s="161"/>
      <c r="E26" s="162"/>
      <c r="F26" s="160"/>
      <c r="G26" s="160"/>
      <c r="H26" s="163">
        <f t="shared" si="2"/>
        <v>0</v>
      </c>
      <c r="I26" s="164">
        <f t="shared" si="3"/>
        <v>0</v>
      </c>
    </row>
    <row r="27" spans="1:9" s="144" customFormat="1" ht="18" customHeight="1">
      <c r="A27" s="261"/>
      <c r="B27" s="318"/>
      <c r="C27" s="161"/>
      <c r="D27" s="181"/>
      <c r="E27" s="177"/>
      <c r="F27" s="160"/>
      <c r="G27" s="160"/>
      <c r="H27" s="163">
        <f t="shared" si="2"/>
        <v>0</v>
      </c>
      <c r="I27" s="164">
        <f t="shared" si="3"/>
        <v>0</v>
      </c>
    </row>
    <row r="28" spans="1:9" ht="24" customHeight="1">
      <c r="A28" s="1"/>
      <c r="B28" s="3"/>
      <c r="C28" s="196"/>
      <c r="D28" s="197">
        <f>SUM(D4:D27)</f>
        <v>581</v>
      </c>
      <c r="E28" s="196"/>
      <c r="F28" s="3"/>
      <c r="G28" s="198">
        <f>SUM(G4:G27)</f>
        <v>39</v>
      </c>
      <c r="H28" s="198">
        <f>SUM(H4:H27)</f>
        <v>7710000</v>
      </c>
      <c r="I28" s="19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30"/>
  <sheetViews>
    <sheetView zoomScale="150" zoomScaleNormal="150" workbookViewId="0" topLeftCell="A2">
      <selection activeCell="A8" sqref="A8"/>
    </sheetView>
  </sheetViews>
  <sheetFormatPr defaultColWidth="9.140625" defaultRowHeight="12.75"/>
  <cols>
    <col min="1" max="1" width="2.28125" style="67" customWidth="1"/>
    <col min="2" max="2" width="25.421875" style="67" customWidth="1"/>
    <col min="3" max="3" width="17.421875" style="68" customWidth="1"/>
    <col min="4" max="6" width="10.7109375" style="69" customWidth="1"/>
    <col min="7" max="10" width="9.7109375" style="69" customWidth="1"/>
    <col min="11" max="11" width="10.140625" style="69" customWidth="1"/>
    <col min="12" max="12" width="9.7109375" style="69" customWidth="1"/>
    <col min="13" max="13" width="10.28125" style="69" customWidth="1"/>
    <col min="14" max="16" width="9.7109375" style="69" customWidth="1"/>
    <col min="17" max="25" width="10.28125" style="69" customWidth="1"/>
    <col min="26" max="30" width="9.7109375" style="69" customWidth="1"/>
    <col min="31" max="31" width="10.7109375" style="69" customWidth="1"/>
    <col min="32" max="34" width="9.7109375" style="69" customWidth="1"/>
    <col min="35" max="38" width="9.7109375" style="67" customWidth="1"/>
    <col min="39" max="39" width="9.8515625" style="67" customWidth="1"/>
    <col min="40" max="16384" width="9.140625" style="67" customWidth="1"/>
  </cols>
  <sheetData>
    <row r="1" spans="3:34" ht="24.75" customHeight="1">
      <c r="C1" s="70" t="s">
        <v>60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1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</row>
    <row r="2" spans="2:39" s="72" customFormat="1" ht="57" customHeight="1">
      <c r="B2" s="73"/>
      <c r="C2" s="85" t="s">
        <v>61</v>
      </c>
      <c r="D2" s="75" t="s">
        <v>349</v>
      </c>
      <c r="E2" s="75" t="s">
        <v>275</v>
      </c>
      <c r="F2" s="75" t="s">
        <v>316</v>
      </c>
      <c r="G2" s="269">
        <v>41900</v>
      </c>
      <c r="H2" s="269">
        <v>41893</v>
      </c>
      <c r="I2" s="269" t="s">
        <v>315</v>
      </c>
      <c r="J2" s="269" t="s">
        <v>314</v>
      </c>
      <c r="K2" s="269">
        <v>41886</v>
      </c>
      <c r="L2" s="269">
        <v>41879</v>
      </c>
      <c r="M2" s="269">
        <v>41872</v>
      </c>
      <c r="N2" s="269">
        <v>41865</v>
      </c>
      <c r="O2" s="269">
        <v>41858</v>
      </c>
      <c r="P2" s="269">
        <v>41851</v>
      </c>
      <c r="Q2" s="269">
        <v>41844</v>
      </c>
      <c r="R2" s="86">
        <v>41837</v>
      </c>
      <c r="S2" s="86">
        <v>41830</v>
      </c>
      <c r="T2" s="86">
        <v>41823</v>
      </c>
      <c r="U2" s="269">
        <v>41816</v>
      </c>
      <c r="V2" s="269" t="s">
        <v>288</v>
      </c>
      <c r="W2" s="269" t="s">
        <v>287</v>
      </c>
      <c r="X2" s="269">
        <v>41809</v>
      </c>
      <c r="Y2" s="269">
        <v>41802</v>
      </c>
      <c r="Z2" s="269">
        <v>41795</v>
      </c>
      <c r="AA2" s="269">
        <v>41788</v>
      </c>
      <c r="AB2" s="269">
        <v>41781</v>
      </c>
      <c r="AC2" s="269">
        <v>41774</v>
      </c>
      <c r="AD2" s="269">
        <v>41767</v>
      </c>
      <c r="AE2" s="269">
        <v>41760</v>
      </c>
      <c r="AF2" s="269">
        <v>41753</v>
      </c>
      <c r="AG2" s="269">
        <v>41746</v>
      </c>
      <c r="AH2" s="269">
        <v>41739</v>
      </c>
      <c r="AI2" s="269">
        <v>41732</v>
      </c>
      <c r="AJ2" s="269">
        <v>41725</v>
      </c>
      <c r="AK2" s="269" t="s">
        <v>210</v>
      </c>
      <c r="AL2" s="269">
        <v>41711</v>
      </c>
      <c r="AM2" s="76" t="s">
        <v>62</v>
      </c>
    </row>
    <row r="3" spans="2:39" ht="15">
      <c r="B3" s="240" t="s">
        <v>31</v>
      </c>
      <c r="C3" s="246">
        <f aca="true" t="shared" si="0" ref="C3:C26">SUM(D3:AL3)</f>
        <v>26890000</v>
      </c>
      <c r="D3" s="247">
        <v>1450000</v>
      </c>
      <c r="E3" s="247">
        <v>1050000</v>
      </c>
      <c r="F3" s="247"/>
      <c r="G3" s="248">
        <v>650000</v>
      </c>
      <c r="H3" s="248">
        <v>50000</v>
      </c>
      <c r="I3" s="248">
        <v>450000</v>
      </c>
      <c r="J3" s="248">
        <v>50000</v>
      </c>
      <c r="K3" s="248">
        <v>410000</v>
      </c>
      <c r="L3" s="248">
        <v>290000</v>
      </c>
      <c r="M3" s="248">
        <v>50000</v>
      </c>
      <c r="N3" s="248"/>
      <c r="O3" s="248">
        <v>2530000</v>
      </c>
      <c r="P3" s="248">
        <v>50000</v>
      </c>
      <c r="Q3" s="248">
        <v>770000</v>
      </c>
      <c r="R3" s="248">
        <v>2050000</v>
      </c>
      <c r="S3" s="248">
        <v>950000</v>
      </c>
      <c r="T3" s="248">
        <v>250000</v>
      </c>
      <c r="U3" s="248">
        <v>1550000</v>
      </c>
      <c r="V3" s="248">
        <v>1300000</v>
      </c>
      <c r="W3" s="248">
        <v>50000</v>
      </c>
      <c r="X3" s="248"/>
      <c r="Y3" s="248">
        <v>370000</v>
      </c>
      <c r="Z3" s="248">
        <v>650000</v>
      </c>
      <c r="AA3" s="248">
        <v>890000</v>
      </c>
      <c r="AB3" s="248">
        <v>1250000</v>
      </c>
      <c r="AC3" s="248">
        <v>770000</v>
      </c>
      <c r="AD3" s="248">
        <v>2050000</v>
      </c>
      <c r="AE3" s="248">
        <v>290000</v>
      </c>
      <c r="AF3" s="248">
        <v>650000</v>
      </c>
      <c r="AG3" s="248">
        <v>410000</v>
      </c>
      <c r="AH3" s="248">
        <v>2050000</v>
      </c>
      <c r="AI3" s="248">
        <v>1610000</v>
      </c>
      <c r="AJ3" s="248">
        <v>950000</v>
      </c>
      <c r="AK3" s="248">
        <v>950000</v>
      </c>
      <c r="AL3" s="248">
        <v>50000</v>
      </c>
      <c r="AM3" s="249">
        <f>COUNTIF(D3:AL3,"&gt;0")</f>
        <v>32</v>
      </c>
    </row>
    <row r="4" spans="2:39" ht="15">
      <c r="B4" s="242" t="s">
        <v>41</v>
      </c>
      <c r="C4" s="250">
        <f t="shared" si="0"/>
        <v>25480000</v>
      </c>
      <c r="D4" s="247">
        <v>1550000</v>
      </c>
      <c r="E4" s="247">
        <v>50000</v>
      </c>
      <c r="F4" s="247">
        <v>50000</v>
      </c>
      <c r="G4" s="248">
        <v>350000</v>
      </c>
      <c r="H4" s="248">
        <v>770000</v>
      </c>
      <c r="I4" s="248">
        <v>150000</v>
      </c>
      <c r="J4" s="248">
        <v>800000</v>
      </c>
      <c r="K4" s="248">
        <v>50000</v>
      </c>
      <c r="L4" s="248">
        <v>950000</v>
      </c>
      <c r="M4" s="248">
        <v>350000</v>
      </c>
      <c r="N4" s="248">
        <v>1250000</v>
      </c>
      <c r="O4" s="248">
        <v>1010000</v>
      </c>
      <c r="P4" s="248">
        <v>650000</v>
      </c>
      <c r="Q4" s="248"/>
      <c r="R4" s="248"/>
      <c r="S4" s="248">
        <v>530000</v>
      </c>
      <c r="T4" s="248">
        <v>530000</v>
      </c>
      <c r="U4" s="248">
        <v>290000</v>
      </c>
      <c r="V4" s="248">
        <v>350000</v>
      </c>
      <c r="W4" s="248">
        <v>450000</v>
      </c>
      <c r="X4" s="248">
        <v>1550000</v>
      </c>
      <c r="Y4" s="248">
        <v>50000</v>
      </c>
      <c r="Z4" s="248">
        <v>150000</v>
      </c>
      <c r="AA4" s="248">
        <v>1550000</v>
      </c>
      <c r="AB4" s="248">
        <v>950000</v>
      </c>
      <c r="AC4" s="248">
        <v>1550000</v>
      </c>
      <c r="AD4" s="248">
        <v>1250000</v>
      </c>
      <c r="AE4" s="248">
        <v>770000</v>
      </c>
      <c r="AF4" s="248">
        <v>950000</v>
      </c>
      <c r="AG4" s="248">
        <v>1550000</v>
      </c>
      <c r="AH4" s="248">
        <v>1650000</v>
      </c>
      <c r="AI4" s="248">
        <v>1550000</v>
      </c>
      <c r="AJ4" s="248">
        <v>290000</v>
      </c>
      <c r="AK4" s="248">
        <v>890000</v>
      </c>
      <c r="AL4" s="248">
        <v>650000</v>
      </c>
      <c r="AM4" s="249">
        <f>COUNTIF(D4:AL4,"&gt;0")</f>
        <v>33</v>
      </c>
    </row>
    <row r="5" spans="1:39" s="77" customFormat="1" ht="15">
      <c r="A5" s="67"/>
      <c r="B5" s="244" t="s">
        <v>33</v>
      </c>
      <c r="C5" s="252">
        <f t="shared" si="0"/>
        <v>23390000</v>
      </c>
      <c r="D5" s="247">
        <v>3750000</v>
      </c>
      <c r="E5" s="247">
        <v>50000</v>
      </c>
      <c r="F5" s="247">
        <v>800000</v>
      </c>
      <c r="G5" s="248"/>
      <c r="H5" s="248">
        <v>50000</v>
      </c>
      <c r="I5" s="248">
        <v>550000</v>
      </c>
      <c r="J5" s="248">
        <v>1050000</v>
      </c>
      <c r="K5" s="248">
        <v>50000</v>
      </c>
      <c r="L5" s="248">
        <v>50000</v>
      </c>
      <c r="M5" s="248">
        <v>50000</v>
      </c>
      <c r="N5" s="248">
        <v>290000</v>
      </c>
      <c r="O5" s="248">
        <v>530000</v>
      </c>
      <c r="P5" s="248">
        <v>50000</v>
      </c>
      <c r="Q5" s="248">
        <v>1550000</v>
      </c>
      <c r="R5" s="248">
        <v>530000</v>
      </c>
      <c r="S5" s="248">
        <v>770000</v>
      </c>
      <c r="T5" s="248">
        <v>150000</v>
      </c>
      <c r="U5" s="248">
        <v>950000</v>
      </c>
      <c r="V5" s="248">
        <v>350000</v>
      </c>
      <c r="W5" s="248">
        <v>50000</v>
      </c>
      <c r="X5" s="248">
        <v>770000</v>
      </c>
      <c r="Y5" s="248">
        <v>1650000</v>
      </c>
      <c r="Z5" s="248">
        <v>1350000</v>
      </c>
      <c r="AA5" s="248">
        <v>950000</v>
      </c>
      <c r="AB5" s="248">
        <v>290000</v>
      </c>
      <c r="AC5" s="248">
        <v>50000</v>
      </c>
      <c r="AD5" s="248">
        <v>850000</v>
      </c>
      <c r="AE5" s="248">
        <v>50000</v>
      </c>
      <c r="AF5" s="248">
        <v>1250000</v>
      </c>
      <c r="AG5" s="248">
        <v>1610000</v>
      </c>
      <c r="AH5" s="248">
        <v>530000</v>
      </c>
      <c r="AI5" s="248">
        <v>870000</v>
      </c>
      <c r="AJ5" s="248"/>
      <c r="AK5" s="248"/>
      <c r="AL5" s="248">
        <v>1550000</v>
      </c>
      <c r="AM5" s="249">
        <f>COUNTIF(D5:AL5,"&gt;0")</f>
        <v>32</v>
      </c>
    </row>
    <row r="6" spans="1:39" s="78" customFormat="1" ht="15">
      <c r="A6" s="67"/>
      <c r="B6" s="228" t="s">
        <v>37</v>
      </c>
      <c r="C6" s="253">
        <f t="shared" si="0"/>
        <v>19890000</v>
      </c>
      <c r="D6" s="248">
        <v>650000</v>
      </c>
      <c r="E6" s="248">
        <v>450000</v>
      </c>
      <c r="F6" s="248">
        <v>50000</v>
      </c>
      <c r="G6" s="248">
        <v>50000</v>
      </c>
      <c r="H6" s="248">
        <v>410000</v>
      </c>
      <c r="I6" s="248">
        <v>350000</v>
      </c>
      <c r="J6" s="248">
        <v>1050000</v>
      </c>
      <c r="K6" s="248">
        <v>1410000</v>
      </c>
      <c r="L6" s="248">
        <v>50000</v>
      </c>
      <c r="M6" s="248">
        <v>650000</v>
      </c>
      <c r="N6" s="248">
        <v>50000</v>
      </c>
      <c r="O6" s="248"/>
      <c r="P6" s="248">
        <v>770000</v>
      </c>
      <c r="Q6" s="248">
        <v>950000</v>
      </c>
      <c r="R6" s="248">
        <v>1650000</v>
      </c>
      <c r="S6" s="248"/>
      <c r="T6" s="254">
        <v>1910000</v>
      </c>
      <c r="U6" s="248">
        <v>50000</v>
      </c>
      <c r="V6" s="248">
        <v>550000</v>
      </c>
      <c r="W6" s="248">
        <v>950000</v>
      </c>
      <c r="X6" s="248">
        <v>1250000</v>
      </c>
      <c r="Y6" s="248">
        <v>1330000</v>
      </c>
      <c r="Z6" s="248">
        <v>1550000</v>
      </c>
      <c r="AA6" s="248">
        <v>50000</v>
      </c>
      <c r="AB6" s="248">
        <v>50000</v>
      </c>
      <c r="AC6" s="248">
        <v>1310000</v>
      </c>
      <c r="AD6" s="248">
        <v>370000</v>
      </c>
      <c r="AE6" s="248">
        <v>50000</v>
      </c>
      <c r="AF6" s="248">
        <v>50000</v>
      </c>
      <c r="AG6" s="248"/>
      <c r="AH6" s="248"/>
      <c r="AI6" s="248">
        <v>50000</v>
      </c>
      <c r="AJ6" s="248">
        <v>530000</v>
      </c>
      <c r="AK6" s="248">
        <v>50000</v>
      </c>
      <c r="AL6" s="248">
        <v>1250000</v>
      </c>
      <c r="AM6" s="249">
        <f>COUNTIF(G6:AL6,"&gt;0")</f>
        <v>28</v>
      </c>
    </row>
    <row r="7" spans="1:39" s="78" customFormat="1" ht="15">
      <c r="A7" s="67"/>
      <c r="B7" s="65" t="s">
        <v>51</v>
      </c>
      <c r="C7" s="255">
        <f t="shared" si="0"/>
        <v>17190000</v>
      </c>
      <c r="D7" s="248">
        <v>2450000</v>
      </c>
      <c r="E7" s="248">
        <v>50000</v>
      </c>
      <c r="F7" s="248">
        <v>50000</v>
      </c>
      <c r="G7" s="248">
        <v>1050000</v>
      </c>
      <c r="H7" s="248"/>
      <c r="I7" s="248">
        <v>1300000</v>
      </c>
      <c r="J7" s="248">
        <v>50000</v>
      </c>
      <c r="K7" s="248">
        <v>1250000</v>
      </c>
      <c r="L7" s="248">
        <v>410000</v>
      </c>
      <c r="M7" s="248">
        <v>1310000</v>
      </c>
      <c r="N7" s="248">
        <v>50000</v>
      </c>
      <c r="O7" s="248">
        <v>50000</v>
      </c>
      <c r="P7" s="248">
        <v>1550000</v>
      </c>
      <c r="Q7" s="248">
        <v>650000</v>
      </c>
      <c r="R7" s="248"/>
      <c r="S7" s="248"/>
      <c r="T7" s="248">
        <v>950000</v>
      </c>
      <c r="U7" s="248">
        <v>770000</v>
      </c>
      <c r="V7" s="248">
        <v>550000</v>
      </c>
      <c r="W7" s="248">
        <v>50000</v>
      </c>
      <c r="X7" s="248">
        <v>530000</v>
      </c>
      <c r="Y7" s="248">
        <v>50000</v>
      </c>
      <c r="Z7" s="248">
        <v>1150000</v>
      </c>
      <c r="AA7" s="248">
        <v>650000</v>
      </c>
      <c r="AB7" s="248">
        <v>50000</v>
      </c>
      <c r="AC7" s="248"/>
      <c r="AD7" s="248"/>
      <c r="AE7" s="248">
        <v>530000</v>
      </c>
      <c r="AF7" s="248">
        <v>50000</v>
      </c>
      <c r="AG7" s="248">
        <v>50000</v>
      </c>
      <c r="AH7" s="248"/>
      <c r="AI7" s="248">
        <v>290000</v>
      </c>
      <c r="AJ7" s="248">
        <v>50000</v>
      </c>
      <c r="AK7" s="248">
        <v>1250000</v>
      </c>
      <c r="AL7" s="248"/>
      <c r="AM7" s="249">
        <f>COUNTIF(D7:AL7,"&gt;0")</f>
        <v>28</v>
      </c>
    </row>
    <row r="8" spans="1:39" ht="15">
      <c r="A8" s="78"/>
      <c r="B8" s="65" t="s">
        <v>45</v>
      </c>
      <c r="C8" s="255">
        <f t="shared" si="0"/>
        <v>12470000</v>
      </c>
      <c r="D8" s="248">
        <v>1650000</v>
      </c>
      <c r="E8" s="248">
        <v>250000</v>
      </c>
      <c r="F8" s="248">
        <v>50000</v>
      </c>
      <c r="G8" s="248">
        <v>50000</v>
      </c>
      <c r="H8" s="248">
        <v>530000</v>
      </c>
      <c r="I8" s="248">
        <v>750000</v>
      </c>
      <c r="J8" s="248">
        <v>550000</v>
      </c>
      <c r="K8" s="248">
        <v>50000</v>
      </c>
      <c r="L8" s="248">
        <v>770000</v>
      </c>
      <c r="M8" s="248">
        <v>50000</v>
      </c>
      <c r="N8" s="248">
        <v>770000</v>
      </c>
      <c r="O8" s="248">
        <v>50000</v>
      </c>
      <c r="P8" s="248">
        <v>1250000</v>
      </c>
      <c r="Q8" s="248">
        <v>530000</v>
      </c>
      <c r="R8" s="248">
        <v>690000</v>
      </c>
      <c r="S8" s="248">
        <v>1250000</v>
      </c>
      <c r="T8" s="248">
        <v>290000</v>
      </c>
      <c r="U8" s="248">
        <v>50000</v>
      </c>
      <c r="V8" s="248">
        <v>50000</v>
      </c>
      <c r="W8" s="248">
        <v>50000</v>
      </c>
      <c r="X8" s="248">
        <v>650000</v>
      </c>
      <c r="Y8" s="248">
        <v>50000</v>
      </c>
      <c r="Z8" s="248">
        <v>290000</v>
      </c>
      <c r="AA8" s="248">
        <v>50000</v>
      </c>
      <c r="AB8" s="248">
        <v>50000</v>
      </c>
      <c r="AC8" s="248">
        <v>50000</v>
      </c>
      <c r="AD8" s="248">
        <v>50000</v>
      </c>
      <c r="AE8" s="248">
        <v>50000</v>
      </c>
      <c r="AF8" s="248">
        <v>50000</v>
      </c>
      <c r="AG8" s="248">
        <v>50000</v>
      </c>
      <c r="AH8" s="248">
        <v>50000</v>
      </c>
      <c r="AI8" s="248">
        <v>50000</v>
      </c>
      <c r="AJ8" s="248">
        <v>770000</v>
      </c>
      <c r="AK8" s="248">
        <v>50000</v>
      </c>
      <c r="AL8" s="248">
        <v>530000</v>
      </c>
      <c r="AM8" s="249">
        <f>COUNTIF(D8:AL8,"&gt;0")</f>
        <v>35</v>
      </c>
    </row>
    <row r="9" spans="2:39" ht="15">
      <c r="B9" s="65" t="s">
        <v>47</v>
      </c>
      <c r="C9" s="255">
        <f t="shared" si="0"/>
        <v>12420000</v>
      </c>
      <c r="D9" s="248">
        <v>50000</v>
      </c>
      <c r="E9" s="248">
        <v>50000</v>
      </c>
      <c r="F9" s="248"/>
      <c r="G9" s="248">
        <v>50000</v>
      </c>
      <c r="H9" s="248">
        <v>1310000</v>
      </c>
      <c r="I9" s="248">
        <v>50000</v>
      </c>
      <c r="J9" s="248">
        <v>800000</v>
      </c>
      <c r="K9" s="248">
        <v>290000</v>
      </c>
      <c r="L9" s="248">
        <v>1550000</v>
      </c>
      <c r="M9" s="248">
        <v>350000</v>
      </c>
      <c r="N9" s="248">
        <v>1550000</v>
      </c>
      <c r="O9" s="248">
        <v>790000</v>
      </c>
      <c r="P9" s="248"/>
      <c r="Q9" s="248"/>
      <c r="R9" s="248"/>
      <c r="S9" s="248"/>
      <c r="T9" s="248">
        <v>410000</v>
      </c>
      <c r="U9" s="248">
        <v>50000</v>
      </c>
      <c r="V9" s="248"/>
      <c r="W9" s="248"/>
      <c r="X9" s="248"/>
      <c r="Y9" s="248">
        <v>50000</v>
      </c>
      <c r="Z9" s="248">
        <v>50000</v>
      </c>
      <c r="AA9" s="248">
        <v>50000</v>
      </c>
      <c r="AB9" s="248"/>
      <c r="AC9" s="248"/>
      <c r="AD9" s="248">
        <v>690000</v>
      </c>
      <c r="AE9" s="248">
        <v>50000</v>
      </c>
      <c r="AF9" s="248">
        <v>1910000</v>
      </c>
      <c r="AG9" s="248"/>
      <c r="AH9" s="248">
        <v>850000</v>
      </c>
      <c r="AI9" s="248">
        <v>50000</v>
      </c>
      <c r="AJ9" s="248">
        <v>650000</v>
      </c>
      <c r="AK9" s="248">
        <v>770000</v>
      </c>
      <c r="AL9" s="248"/>
      <c r="AM9" s="249">
        <f>COUNTIF(G9:AL9,"&gt;0")</f>
        <v>21</v>
      </c>
    </row>
    <row r="10" spans="2:39" ht="15">
      <c r="B10" s="65" t="s">
        <v>21</v>
      </c>
      <c r="C10" s="255">
        <f t="shared" si="0"/>
        <v>10700000</v>
      </c>
      <c r="D10" s="248">
        <v>50000</v>
      </c>
      <c r="E10" s="248">
        <v>50000</v>
      </c>
      <c r="F10" s="248">
        <v>250000</v>
      </c>
      <c r="G10" s="248">
        <v>50000</v>
      </c>
      <c r="H10" s="248">
        <v>290000</v>
      </c>
      <c r="I10" s="248">
        <v>1050000</v>
      </c>
      <c r="J10" s="248">
        <v>300000</v>
      </c>
      <c r="K10" s="248">
        <v>770000</v>
      </c>
      <c r="L10" s="248">
        <v>50000</v>
      </c>
      <c r="M10" s="248">
        <v>50000</v>
      </c>
      <c r="N10" s="248">
        <v>50000</v>
      </c>
      <c r="O10" s="248">
        <v>370000</v>
      </c>
      <c r="P10" s="248">
        <v>50000</v>
      </c>
      <c r="Q10" s="248"/>
      <c r="R10" s="248">
        <v>370000</v>
      </c>
      <c r="S10" s="248">
        <v>1550000</v>
      </c>
      <c r="T10" s="248">
        <v>50000</v>
      </c>
      <c r="U10" s="248">
        <v>530000</v>
      </c>
      <c r="V10" s="248">
        <v>50000</v>
      </c>
      <c r="W10" s="248">
        <v>50000</v>
      </c>
      <c r="X10" s="248">
        <v>50000</v>
      </c>
      <c r="Y10" s="248">
        <v>1250000</v>
      </c>
      <c r="Z10" s="248"/>
      <c r="AA10" s="248">
        <v>50000</v>
      </c>
      <c r="AB10" s="248">
        <v>50000</v>
      </c>
      <c r="AC10" s="248"/>
      <c r="AD10" s="248">
        <v>1650000</v>
      </c>
      <c r="AE10" s="248">
        <v>50000</v>
      </c>
      <c r="AF10" s="248">
        <v>50000</v>
      </c>
      <c r="AG10" s="248">
        <v>650000</v>
      </c>
      <c r="AH10" s="248"/>
      <c r="AI10" s="248">
        <v>410000</v>
      </c>
      <c r="AJ10" s="248">
        <v>410000</v>
      </c>
      <c r="AK10" s="248">
        <v>50000</v>
      </c>
      <c r="AL10" s="248">
        <v>50000</v>
      </c>
      <c r="AM10" s="249">
        <f>COUNTIF(D10:AL10,"&gt;0")</f>
        <v>31</v>
      </c>
    </row>
    <row r="11" spans="1:39" ht="15">
      <c r="A11" s="78"/>
      <c r="B11" s="65" t="s">
        <v>13</v>
      </c>
      <c r="C11" s="255">
        <f t="shared" si="0"/>
        <v>10070000</v>
      </c>
      <c r="D11" s="248">
        <v>650000</v>
      </c>
      <c r="E11" s="248">
        <v>550000</v>
      </c>
      <c r="F11" s="248">
        <v>1050000</v>
      </c>
      <c r="G11" s="248">
        <v>50000</v>
      </c>
      <c r="H11" s="248"/>
      <c r="I11" s="248">
        <v>250000</v>
      </c>
      <c r="J11" s="248">
        <v>50000</v>
      </c>
      <c r="K11" s="248">
        <v>50000</v>
      </c>
      <c r="L11" s="248">
        <v>410000</v>
      </c>
      <c r="M11" s="248">
        <v>1250000</v>
      </c>
      <c r="N11" s="248">
        <v>530000</v>
      </c>
      <c r="O11" s="248">
        <v>50000</v>
      </c>
      <c r="P11" s="248">
        <v>410000</v>
      </c>
      <c r="Q11" s="248"/>
      <c r="R11" s="248"/>
      <c r="S11" s="248"/>
      <c r="T11" s="248">
        <v>650000</v>
      </c>
      <c r="U11" s="248">
        <v>50000</v>
      </c>
      <c r="V11" s="248">
        <v>50000</v>
      </c>
      <c r="W11" s="248">
        <v>50000</v>
      </c>
      <c r="X11" s="248">
        <v>290000</v>
      </c>
      <c r="Y11" s="248">
        <v>50000</v>
      </c>
      <c r="Z11" s="248"/>
      <c r="AA11" s="248">
        <v>50000</v>
      </c>
      <c r="AB11" s="248">
        <v>770000</v>
      </c>
      <c r="AC11" s="248">
        <v>50000</v>
      </c>
      <c r="AD11" s="248"/>
      <c r="AE11" s="248"/>
      <c r="AF11" s="248">
        <v>290000</v>
      </c>
      <c r="AG11" s="248"/>
      <c r="AH11" s="248">
        <v>50000</v>
      </c>
      <c r="AI11" s="248">
        <v>50000</v>
      </c>
      <c r="AJ11" s="248">
        <v>410000</v>
      </c>
      <c r="AK11" s="248">
        <v>650000</v>
      </c>
      <c r="AL11" s="248">
        <v>1310000</v>
      </c>
      <c r="AM11" s="249">
        <f>COUNTIF(D11:AL11,"&gt;0")</f>
        <v>27</v>
      </c>
    </row>
    <row r="12" spans="2:39" s="78" customFormat="1" ht="15">
      <c r="B12" s="65" t="s">
        <v>57</v>
      </c>
      <c r="C12" s="255">
        <f t="shared" si="0"/>
        <v>9840000</v>
      </c>
      <c r="D12" s="248">
        <v>50000</v>
      </c>
      <c r="E12" s="248">
        <v>1600000</v>
      </c>
      <c r="F12" s="248"/>
      <c r="G12" s="248">
        <v>50000</v>
      </c>
      <c r="H12" s="248">
        <v>1550000</v>
      </c>
      <c r="I12" s="248"/>
      <c r="J12" s="248"/>
      <c r="K12" s="248">
        <v>50000</v>
      </c>
      <c r="L12" s="248"/>
      <c r="M12" s="248"/>
      <c r="N12" s="248">
        <v>410000</v>
      </c>
      <c r="O12" s="248">
        <v>1350000</v>
      </c>
      <c r="P12" s="248"/>
      <c r="Q12" s="248"/>
      <c r="R12" s="248"/>
      <c r="S12" s="248"/>
      <c r="T12" s="248">
        <v>150000</v>
      </c>
      <c r="U12" s="248">
        <v>50000</v>
      </c>
      <c r="V12" s="248">
        <v>50000</v>
      </c>
      <c r="W12" s="248">
        <v>50000</v>
      </c>
      <c r="X12" s="248"/>
      <c r="Y12" s="248">
        <v>530000</v>
      </c>
      <c r="Z12" s="248">
        <v>50000</v>
      </c>
      <c r="AA12" s="248"/>
      <c r="AB12" s="248"/>
      <c r="AC12" s="248">
        <v>1250000</v>
      </c>
      <c r="AD12" s="248"/>
      <c r="AE12" s="248">
        <v>1400000</v>
      </c>
      <c r="AF12" s="248"/>
      <c r="AG12" s="248"/>
      <c r="AH12" s="248"/>
      <c r="AI12" s="248"/>
      <c r="AJ12" s="248">
        <v>1250000</v>
      </c>
      <c r="AK12" s="248"/>
      <c r="AL12" s="248"/>
      <c r="AM12" s="249">
        <f>COUNTIF(D12:AL12,"&gt;0")</f>
        <v>16</v>
      </c>
    </row>
    <row r="13" spans="2:39" ht="15">
      <c r="B13" s="65" t="s">
        <v>55</v>
      </c>
      <c r="C13" s="255">
        <f t="shared" si="0"/>
        <v>9580000</v>
      </c>
      <c r="D13" s="248">
        <v>50000</v>
      </c>
      <c r="E13" s="248"/>
      <c r="F13" s="248"/>
      <c r="G13" s="248"/>
      <c r="H13" s="248">
        <v>1250000</v>
      </c>
      <c r="I13" s="248"/>
      <c r="J13" s="248"/>
      <c r="K13" s="248">
        <v>50000</v>
      </c>
      <c r="L13" s="248">
        <v>650000</v>
      </c>
      <c r="M13" s="248">
        <v>950000</v>
      </c>
      <c r="N13" s="248">
        <v>950000</v>
      </c>
      <c r="O13" s="248">
        <v>50000</v>
      </c>
      <c r="P13" s="248"/>
      <c r="Q13" s="248">
        <v>410000</v>
      </c>
      <c r="R13" s="248">
        <v>530000</v>
      </c>
      <c r="S13" s="248">
        <v>290000</v>
      </c>
      <c r="T13" s="248">
        <v>50000</v>
      </c>
      <c r="U13" s="248">
        <v>410000</v>
      </c>
      <c r="V13" s="248">
        <v>50000</v>
      </c>
      <c r="W13" s="248">
        <v>50000</v>
      </c>
      <c r="X13" s="248">
        <v>50000</v>
      </c>
      <c r="Y13" s="248">
        <v>2050000</v>
      </c>
      <c r="Z13" s="248">
        <v>50000</v>
      </c>
      <c r="AA13" s="248">
        <v>50000</v>
      </c>
      <c r="AB13" s="248">
        <v>50000</v>
      </c>
      <c r="AC13" s="248"/>
      <c r="AD13" s="248"/>
      <c r="AE13" s="248"/>
      <c r="AF13" s="248"/>
      <c r="AG13" s="248">
        <v>530000</v>
      </c>
      <c r="AH13" s="248">
        <v>1010000</v>
      </c>
      <c r="AI13" s="248">
        <v>50000</v>
      </c>
      <c r="AJ13" s="248"/>
      <c r="AK13" s="248"/>
      <c r="AL13" s="248"/>
      <c r="AM13" s="249">
        <f>COUNTIF(D13:AL13,"&gt;0")</f>
        <v>22</v>
      </c>
    </row>
    <row r="14" spans="1:39" s="78" customFormat="1" ht="15">
      <c r="A14" s="67"/>
      <c r="B14" s="65" t="s">
        <v>35</v>
      </c>
      <c r="C14" s="255">
        <f t="shared" si="0"/>
        <v>9080000</v>
      </c>
      <c r="D14" s="248">
        <v>1050000</v>
      </c>
      <c r="E14" s="248"/>
      <c r="F14" s="248"/>
      <c r="G14" s="248">
        <v>350000</v>
      </c>
      <c r="H14" s="248"/>
      <c r="I14" s="248"/>
      <c r="J14" s="248"/>
      <c r="K14" s="248">
        <v>1550000</v>
      </c>
      <c r="L14" s="248"/>
      <c r="M14" s="248">
        <v>50000</v>
      </c>
      <c r="N14" s="248"/>
      <c r="O14" s="248"/>
      <c r="P14" s="248"/>
      <c r="Q14" s="248"/>
      <c r="R14" s="248"/>
      <c r="S14" s="248"/>
      <c r="T14" s="248"/>
      <c r="U14" s="248"/>
      <c r="V14" s="248"/>
      <c r="W14" s="248">
        <v>50000</v>
      </c>
      <c r="X14" s="248"/>
      <c r="Y14" s="248"/>
      <c r="Z14" s="248">
        <v>510000</v>
      </c>
      <c r="AA14" s="248">
        <v>1250000</v>
      </c>
      <c r="AB14" s="248">
        <v>1550000</v>
      </c>
      <c r="AC14" s="248">
        <v>650000</v>
      </c>
      <c r="AD14" s="248">
        <v>530000</v>
      </c>
      <c r="AE14" s="248">
        <v>770000</v>
      </c>
      <c r="AF14" s="248"/>
      <c r="AG14" s="248"/>
      <c r="AH14" s="248"/>
      <c r="AI14" s="248"/>
      <c r="AJ14" s="248"/>
      <c r="AK14" s="248"/>
      <c r="AL14" s="248">
        <v>770000</v>
      </c>
      <c r="AM14" s="249">
        <f>COUNTIF(G14:AL14,"&gt;0")</f>
        <v>11</v>
      </c>
    </row>
    <row r="15" spans="2:39" ht="15">
      <c r="B15" s="65" t="s">
        <v>63</v>
      </c>
      <c r="C15" s="255">
        <f t="shared" si="0"/>
        <v>8950000</v>
      </c>
      <c r="D15" s="248"/>
      <c r="E15" s="248">
        <v>650000</v>
      </c>
      <c r="F15" s="248"/>
      <c r="G15" s="248"/>
      <c r="H15" s="248">
        <v>650000</v>
      </c>
      <c r="I15" s="248"/>
      <c r="J15" s="248"/>
      <c r="K15" s="248">
        <v>50000</v>
      </c>
      <c r="L15" s="248">
        <v>50000</v>
      </c>
      <c r="M15" s="248"/>
      <c r="N15" s="248"/>
      <c r="O15" s="248">
        <v>50000</v>
      </c>
      <c r="P15" s="248">
        <v>950000</v>
      </c>
      <c r="Q15" s="248"/>
      <c r="R15" s="248"/>
      <c r="S15" s="248"/>
      <c r="T15" s="248"/>
      <c r="U15" s="248">
        <v>650000</v>
      </c>
      <c r="V15" s="248">
        <v>1950000</v>
      </c>
      <c r="W15" s="248">
        <v>50000</v>
      </c>
      <c r="X15" s="248">
        <v>950000</v>
      </c>
      <c r="Y15" s="248"/>
      <c r="Z15" s="248">
        <v>50000</v>
      </c>
      <c r="AA15" s="248"/>
      <c r="AB15" s="248">
        <v>50000</v>
      </c>
      <c r="AC15" s="248"/>
      <c r="AD15" s="248"/>
      <c r="AE15" s="248"/>
      <c r="AF15" s="248"/>
      <c r="AG15" s="248"/>
      <c r="AH15" s="248">
        <v>1250000</v>
      </c>
      <c r="AI15" s="248"/>
      <c r="AJ15" s="248"/>
      <c r="AK15" s="248">
        <v>1550000</v>
      </c>
      <c r="AL15" s="248">
        <v>50000</v>
      </c>
      <c r="AM15" s="249">
        <f aca="true" t="shared" si="1" ref="AM15:AM26">COUNTIF(D15:AL15,"&gt;0")</f>
        <v>15</v>
      </c>
    </row>
    <row r="16" spans="2:39" ht="15">
      <c r="B16" s="65" t="s">
        <v>49</v>
      </c>
      <c r="C16" s="255">
        <f t="shared" si="0"/>
        <v>8800000</v>
      </c>
      <c r="D16" s="248">
        <v>50000</v>
      </c>
      <c r="E16" s="248">
        <v>350000</v>
      </c>
      <c r="F16" s="248">
        <v>50000</v>
      </c>
      <c r="G16" s="248">
        <v>50000</v>
      </c>
      <c r="H16" s="248">
        <v>50000</v>
      </c>
      <c r="I16" s="248">
        <v>50000</v>
      </c>
      <c r="J16" s="248">
        <v>50000</v>
      </c>
      <c r="K16" s="248">
        <v>750000</v>
      </c>
      <c r="L16" s="248">
        <v>50000</v>
      </c>
      <c r="M16" s="248">
        <v>50000</v>
      </c>
      <c r="N16" s="248">
        <v>50000</v>
      </c>
      <c r="O16" s="248">
        <v>1750000</v>
      </c>
      <c r="P16" s="248">
        <v>50000</v>
      </c>
      <c r="Q16" s="248"/>
      <c r="R16" s="248"/>
      <c r="S16" s="248"/>
      <c r="T16" s="248"/>
      <c r="U16" s="248">
        <v>1250000</v>
      </c>
      <c r="V16" s="248">
        <v>650000</v>
      </c>
      <c r="W16" s="248">
        <v>450000</v>
      </c>
      <c r="X16" s="248">
        <v>50000</v>
      </c>
      <c r="Y16" s="248">
        <v>50000</v>
      </c>
      <c r="Z16" s="248">
        <v>50000</v>
      </c>
      <c r="AA16" s="248"/>
      <c r="AB16" s="248"/>
      <c r="AC16" s="248">
        <v>50000</v>
      </c>
      <c r="AD16" s="248"/>
      <c r="AE16" s="248"/>
      <c r="AF16" s="248">
        <v>770000</v>
      </c>
      <c r="AG16" s="248">
        <v>950000</v>
      </c>
      <c r="AH16" s="248">
        <v>530000</v>
      </c>
      <c r="AI16" s="248">
        <v>650000</v>
      </c>
      <c r="AJ16" s="248"/>
      <c r="AK16" s="248"/>
      <c r="AL16" s="248"/>
      <c r="AM16" s="249">
        <f t="shared" si="1"/>
        <v>24</v>
      </c>
    </row>
    <row r="17" spans="2:39" ht="15">
      <c r="B17" s="65" t="s">
        <v>15</v>
      </c>
      <c r="C17" s="255">
        <f t="shared" si="0"/>
        <v>8370000</v>
      </c>
      <c r="D17" s="248">
        <v>50000</v>
      </c>
      <c r="E17" s="248"/>
      <c r="F17" s="248">
        <v>1300000</v>
      </c>
      <c r="G17" s="248">
        <v>1300000</v>
      </c>
      <c r="H17" s="248"/>
      <c r="I17" s="248"/>
      <c r="J17" s="248"/>
      <c r="K17" s="248"/>
      <c r="L17" s="248">
        <v>1250000</v>
      </c>
      <c r="M17" s="248">
        <v>1250000</v>
      </c>
      <c r="N17" s="248">
        <v>410000</v>
      </c>
      <c r="O17" s="248">
        <v>50000</v>
      </c>
      <c r="P17" s="248"/>
      <c r="Q17" s="248"/>
      <c r="R17" s="248"/>
      <c r="S17" s="248"/>
      <c r="T17" s="248">
        <v>50000</v>
      </c>
      <c r="U17" s="248"/>
      <c r="V17" s="248">
        <v>50000</v>
      </c>
      <c r="W17" s="248">
        <v>50000</v>
      </c>
      <c r="X17" s="248">
        <v>50000</v>
      </c>
      <c r="Y17" s="248">
        <v>1010000</v>
      </c>
      <c r="Z17" s="248"/>
      <c r="AA17" s="248"/>
      <c r="AB17" s="248">
        <v>530000</v>
      </c>
      <c r="AC17" s="248">
        <v>410000</v>
      </c>
      <c r="AD17" s="248">
        <v>50000</v>
      </c>
      <c r="AE17" s="248">
        <v>50000</v>
      </c>
      <c r="AF17" s="248"/>
      <c r="AG17" s="248"/>
      <c r="AH17" s="248"/>
      <c r="AI17" s="248"/>
      <c r="AJ17" s="248">
        <v>50000</v>
      </c>
      <c r="AK17" s="248">
        <v>410000</v>
      </c>
      <c r="AL17" s="248">
        <v>50000</v>
      </c>
      <c r="AM17" s="249">
        <f t="shared" si="1"/>
        <v>19</v>
      </c>
    </row>
    <row r="18" spans="2:39" ht="15">
      <c r="B18" s="65" t="s">
        <v>17</v>
      </c>
      <c r="C18" s="255">
        <f t="shared" si="0"/>
        <v>8320000</v>
      </c>
      <c r="D18" s="248"/>
      <c r="E18" s="248"/>
      <c r="F18" s="248">
        <v>350000</v>
      </c>
      <c r="G18" s="248">
        <v>800000</v>
      </c>
      <c r="H18" s="248">
        <v>50000</v>
      </c>
      <c r="I18" s="248">
        <v>450000</v>
      </c>
      <c r="J18" s="248">
        <v>50000</v>
      </c>
      <c r="K18" s="248">
        <v>530000</v>
      </c>
      <c r="L18" s="248"/>
      <c r="M18" s="248">
        <v>50000</v>
      </c>
      <c r="N18" s="248">
        <v>50000</v>
      </c>
      <c r="O18" s="248">
        <v>850000</v>
      </c>
      <c r="P18" s="248">
        <v>290000</v>
      </c>
      <c r="Q18" s="248"/>
      <c r="R18" s="248"/>
      <c r="S18" s="248"/>
      <c r="T18" s="248">
        <v>1250000</v>
      </c>
      <c r="U18" s="248">
        <v>50000</v>
      </c>
      <c r="V18" s="248">
        <v>350000</v>
      </c>
      <c r="W18" s="248">
        <v>450000</v>
      </c>
      <c r="X18" s="248"/>
      <c r="Y18" s="248">
        <v>50000</v>
      </c>
      <c r="Z18" s="248">
        <v>1130000</v>
      </c>
      <c r="AA18" s="248"/>
      <c r="AB18" s="248">
        <v>410000</v>
      </c>
      <c r="AC18" s="248">
        <v>530000</v>
      </c>
      <c r="AD18" s="248">
        <v>530000</v>
      </c>
      <c r="AE18" s="248"/>
      <c r="AF18" s="248">
        <v>50000</v>
      </c>
      <c r="AG18" s="248"/>
      <c r="AH18" s="248"/>
      <c r="AI18" s="248"/>
      <c r="AJ18" s="248"/>
      <c r="AK18" s="248"/>
      <c r="AL18" s="248">
        <v>50000</v>
      </c>
      <c r="AM18" s="249">
        <f t="shared" si="1"/>
        <v>21</v>
      </c>
    </row>
    <row r="19" spans="1:39" ht="15">
      <c r="A19" s="78"/>
      <c r="B19" s="65" t="s">
        <v>39</v>
      </c>
      <c r="C19" s="255">
        <f t="shared" si="0"/>
        <v>7990000</v>
      </c>
      <c r="D19" s="248">
        <v>2050000</v>
      </c>
      <c r="E19" s="248">
        <v>800000</v>
      </c>
      <c r="F19" s="248">
        <v>850000</v>
      </c>
      <c r="G19" s="248">
        <v>550000</v>
      </c>
      <c r="H19" s="248">
        <v>50000</v>
      </c>
      <c r="I19" s="248"/>
      <c r="J19" s="248"/>
      <c r="K19" s="248"/>
      <c r="L19" s="248">
        <v>50000</v>
      </c>
      <c r="M19" s="248"/>
      <c r="N19" s="248">
        <v>50000</v>
      </c>
      <c r="O19" s="248"/>
      <c r="P19" s="248">
        <v>50000</v>
      </c>
      <c r="Q19" s="248"/>
      <c r="R19" s="248">
        <v>850000</v>
      </c>
      <c r="S19" s="248">
        <v>770000</v>
      </c>
      <c r="T19" s="248">
        <v>770000</v>
      </c>
      <c r="U19" s="248"/>
      <c r="V19" s="248"/>
      <c r="W19" s="248"/>
      <c r="X19" s="248">
        <v>50000</v>
      </c>
      <c r="Y19" s="248">
        <v>50000</v>
      </c>
      <c r="Z19" s="248">
        <v>50000</v>
      </c>
      <c r="AA19" s="248">
        <v>50000</v>
      </c>
      <c r="AB19" s="248"/>
      <c r="AC19" s="248">
        <v>290000</v>
      </c>
      <c r="AD19" s="248"/>
      <c r="AE19" s="248"/>
      <c r="AF19" s="248">
        <v>410000</v>
      </c>
      <c r="AG19" s="248">
        <v>50000</v>
      </c>
      <c r="AH19" s="248">
        <v>50000</v>
      </c>
      <c r="AI19" s="248">
        <v>50000</v>
      </c>
      <c r="AJ19" s="248"/>
      <c r="AK19" s="248">
        <v>50000</v>
      </c>
      <c r="AL19" s="248">
        <v>50000</v>
      </c>
      <c r="AM19" s="249">
        <f t="shared" si="1"/>
        <v>22</v>
      </c>
    </row>
    <row r="20" spans="2:39" ht="15">
      <c r="B20" s="65" t="s">
        <v>11</v>
      </c>
      <c r="C20" s="255">
        <f t="shared" si="0"/>
        <v>6780000</v>
      </c>
      <c r="D20" s="248"/>
      <c r="E20" s="248"/>
      <c r="F20" s="248"/>
      <c r="G20" s="248"/>
      <c r="H20" s="248"/>
      <c r="I20" s="248">
        <v>800000</v>
      </c>
      <c r="J20" s="248">
        <v>50000</v>
      </c>
      <c r="K20" s="248"/>
      <c r="L20" s="248">
        <v>530000</v>
      </c>
      <c r="M20" s="248"/>
      <c r="N20" s="248">
        <v>50000</v>
      </c>
      <c r="O20" s="248"/>
      <c r="P20" s="248">
        <v>530000</v>
      </c>
      <c r="Q20" s="248"/>
      <c r="R20" s="248">
        <v>1250000</v>
      </c>
      <c r="S20" s="248"/>
      <c r="T20" s="248"/>
      <c r="U20" s="248"/>
      <c r="V20" s="248">
        <v>450000</v>
      </c>
      <c r="W20" s="248">
        <v>50000</v>
      </c>
      <c r="X20" s="248">
        <v>410000</v>
      </c>
      <c r="Y20" s="248"/>
      <c r="Z20" s="248"/>
      <c r="AA20" s="248">
        <v>50000</v>
      </c>
      <c r="AB20" s="248"/>
      <c r="AC20" s="248"/>
      <c r="AD20" s="248">
        <v>1010000</v>
      </c>
      <c r="AE20" s="248"/>
      <c r="AF20" s="248">
        <v>50000</v>
      </c>
      <c r="AG20" s="248">
        <v>770000</v>
      </c>
      <c r="AH20" s="248">
        <v>370000</v>
      </c>
      <c r="AI20" s="248"/>
      <c r="AJ20" s="248"/>
      <c r="AK20" s="248"/>
      <c r="AL20" s="248">
        <v>410000</v>
      </c>
      <c r="AM20" s="249">
        <f t="shared" si="1"/>
        <v>15</v>
      </c>
    </row>
    <row r="21" spans="2:39" ht="15">
      <c r="B21" s="65" t="s">
        <v>19</v>
      </c>
      <c r="C21" s="255">
        <f t="shared" si="0"/>
        <v>6610000</v>
      </c>
      <c r="D21" s="248">
        <v>50000</v>
      </c>
      <c r="E21" s="248"/>
      <c r="F21" s="248">
        <v>650000</v>
      </c>
      <c r="G21" s="248">
        <v>450000</v>
      </c>
      <c r="H21" s="248">
        <v>50000</v>
      </c>
      <c r="I21" s="248">
        <v>350000</v>
      </c>
      <c r="J21" s="248">
        <v>50000</v>
      </c>
      <c r="K21" s="248">
        <v>50000</v>
      </c>
      <c r="L21" s="248">
        <v>50000</v>
      </c>
      <c r="M21" s="248">
        <v>50000</v>
      </c>
      <c r="N21" s="248">
        <v>50000</v>
      </c>
      <c r="O21" s="248">
        <v>150000</v>
      </c>
      <c r="P21" s="248">
        <v>50000</v>
      </c>
      <c r="Q21" s="248"/>
      <c r="R21" s="248"/>
      <c r="S21" s="248"/>
      <c r="T21" s="248"/>
      <c r="U21" s="248">
        <v>50000</v>
      </c>
      <c r="V21" s="248">
        <v>50000</v>
      </c>
      <c r="W21" s="248">
        <v>50000</v>
      </c>
      <c r="X21" s="248">
        <v>50000</v>
      </c>
      <c r="Y21" s="248">
        <v>50000</v>
      </c>
      <c r="Z21" s="248"/>
      <c r="AA21" s="248">
        <v>770000</v>
      </c>
      <c r="AB21" s="248"/>
      <c r="AC21" s="248">
        <v>50000</v>
      </c>
      <c r="AD21" s="248"/>
      <c r="AE21" s="248">
        <v>1550000</v>
      </c>
      <c r="AF21" s="248">
        <v>50000</v>
      </c>
      <c r="AG21" s="248">
        <v>290000</v>
      </c>
      <c r="AH21" s="248"/>
      <c r="AI21" s="248">
        <v>50000</v>
      </c>
      <c r="AJ21" s="248">
        <v>1550000</v>
      </c>
      <c r="AK21" s="248">
        <v>50000</v>
      </c>
      <c r="AL21" s="248"/>
      <c r="AM21" s="249">
        <f t="shared" si="1"/>
        <v>25</v>
      </c>
    </row>
    <row r="22" spans="2:39" ht="15">
      <c r="B22" s="65" t="s">
        <v>25</v>
      </c>
      <c r="C22" s="255">
        <f t="shared" si="0"/>
        <v>5120000</v>
      </c>
      <c r="D22" s="248">
        <v>50000</v>
      </c>
      <c r="E22" s="248">
        <v>50000</v>
      </c>
      <c r="F22" s="248">
        <v>450000</v>
      </c>
      <c r="G22" s="248">
        <v>50000</v>
      </c>
      <c r="H22" s="248"/>
      <c r="I22" s="248">
        <v>50000</v>
      </c>
      <c r="J22" s="248">
        <v>50000</v>
      </c>
      <c r="K22" s="248">
        <v>250000</v>
      </c>
      <c r="L22" s="248">
        <v>50000</v>
      </c>
      <c r="M22" s="248">
        <v>50000</v>
      </c>
      <c r="N22" s="248"/>
      <c r="O22" s="248">
        <v>50000</v>
      </c>
      <c r="P22" s="248">
        <v>50000</v>
      </c>
      <c r="Q22" s="248"/>
      <c r="R22" s="248"/>
      <c r="S22" s="248"/>
      <c r="T22" s="248"/>
      <c r="U22" s="248">
        <v>410000</v>
      </c>
      <c r="V22" s="248">
        <v>50000</v>
      </c>
      <c r="W22" s="248">
        <v>950000</v>
      </c>
      <c r="X22" s="248"/>
      <c r="Y22" s="248">
        <v>50000</v>
      </c>
      <c r="Z22" s="248">
        <v>50000</v>
      </c>
      <c r="AA22" s="248">
        <v>410000</v>
      </c>
      <c r="AB22" s="248"/>
      <c r="AC22" s="248"/>
      <c r="AD22" s="248"/>
      <c r="AE22" s="248">
        <v>950000</v>
      </c>
      <c r="AF22" s="248">
        <v>50000</v>
      </c>
      <c r="AG22" s="248"/>
      <c r="AH22" s="248"/>
      <c r="AI22" s="248">
        <v>1050000</v>
      </c>
      <c r="AJ22" s="248"/>
      <c r="AK22" s="248"/>
      <c r="AL22" s="248"/>
      <c r="AM22" s="249">
        <f t="shared" si="1"/>
        <v>20</v>
      </c>
    </row>
    <row r="23" spans="2:39" ht="15">
      <c r="B23" s="65" t="s">
        <v>207</v>
      </c>
      <c r="C23" s="255">
        <f t="shared" si="0"/>
        <v>5050000</v>
      </c>
      <c r="D23" s="248">
        <v>50000</v>
      </c>
      <c r="E23" s="248"/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>
        <v>650000</v>
      </c>
      <c r="T23" s="248"/>
      <c r="U23" s="248"/>
      <c r="V23" s="248">
        <v>800000</v>
      </c>
      <c r="W23" s="248">
        <v>950000</v>
      </c>
      <c r="X23" s="248"/>
      <c r="Y23" s="248"/>
      <c r="Z23" s="248"/>
      <c r="AA23" s="248">
        <v>50000</v>
      </c>
      <c r="AB23" s="248">
        <v>1010000</v>
      </c>
      <c r="AC23" s="248"/>
      <c r="AD23" s="248"/>
      <c r="AE23" s="248">
        <v>700000</v>
      </c>
      <c r="AF23" s="248"/>
      <c r="AG23" s="248">
        <v>50000</v>
      </c>
      <c r="AH23" s="248">
        <v>690000</v>
      </c>
      <c r="AI23" s="248">
        <v>50000</v>
      </c>
      <c r="AJ23" s="248">
        <v>50000</v>
      </c>
      <c r="AK23" s="248"/>
      <c r="AL23" s="248"/>
      <c r="AM23" s="249">
        <f t="shared" si="1"/>
        <v>11</v>
      </c>
    </row>
    <row r="24" spans="2:39" ht="15">
      <c r="B24" s="65" t="s">
        <v>27</v>
      </c>
      <c r="C24" s="255">
        <f t="shared" si="0"/>
        <v>4400000</v>
      </c>
      <c r="D24" s="248"/>
      <c r="E24" s="248"/>
      <c r="F24" s="248">
        <v>50000</v>
      </c>
      <c r="G24" s="248">
        <v>250000</v>
      </c>
      <c r="H24" s="248"/>
      <c r="I24" s="248"/>
      <c r="J24" s="248"/>
      <c r="K24" s="248"/>
      <c r="L24" s="248"/>
      <c r="M24" s="248">
        <v>650000</v>
      </c>
      <c r="N24" s="248"/>
      <c r="O24" s="248"/>
      <c r="P24" s="248">
        <v>410000</v>
      </c>
      <c r="Q24" s="248">
        <v>1250000</v>
      </c>
      <c r="R24" s="248">
        <v>1010000</v>
      </c>
      <c r="S24" s="248">
        <v>50000</v>
      </c>
      <c r="T24" s="248"/>
      <c r="U24" s="248">
        <v>50000</v>
      </c>
      <c r="V24" s="248"/>
      <c r="W24" s="248"/>
      <c r="X24" s="248"/>
      <c r="Y24" s="248"/>
      <c r="Z24" s="248"/>
      <c r="AA24" s="248"/>
      <c r="AB24" s="248"/>
      <c r="AC24" s="248"/>
      <c r="AD24" s="248"/>
      <c r="AE24" s="248">
        <v>50000</v>
      </c>
      <c r="AF24" s="248">
        <v>530000</v>
      </c>
      <c r="AG24" s="248"/>
      <c r="AH24" s="248"/>
      <c r="AI24" s="248">
        <v>50000</v>
      </c>
      <c r="AJ24" s="248"/>
      <c r="AK24" s="248">
        <v>50000</v>
      </c>
      <c r="AL24" s="248"/>
      <c r="AM24" s="249">
        <f t="shared" si="1"/>
        <v>12</v>
      </c>
    </row>
    <row r="25" spans="2:39" ht="15">
      <c r="B25" s="65" t="s">
        <v>29</v>
      </c>
      <c r="C25" s="255">
        <f t="shared" si="0"/>
        <v>2570000</v>
      </c>
      <c r="D25" s="248">
        <v>50000</v>
      </c>
      <c r="E25" s="248"/>
      <c r="F25" s="248"/>
      <c r="G25" s="248">
        <v>50000</v>
      </c>
      <c r="H25" s="248"/>
      <c r="I25" s="248"/>
      <c r="J25" s="248"/>
      <c r="K25" s="248">
        <v>50000</v>
      </c>
      <c r="L25" s="248">
        <v>50000</v>
      </c>
      <c r="M25" s="248"/>
      <c r="N25" s="248"/>
      <c r="O25" s="248">
        <v>50000</v>
      </c>
      <c r="P25" s="248">
        <v>50000</v>
      </c>
      <c r="Q25" s="248"/>
      <c r="R25" s="248"/>
      <c r="S25" s="248">
        <v>50000</v>
      </c>
      <c r="T25" s="248">
        <v>50000</v>
      </c>
      <c r="U25" s="248"/>
      <c r="V25" s="248"/>
      <c r="W25" s="248"/>
      <c r="X25" s="248">
        <v>410000</v>
      </c>
      <c r="Y25" s="248">
        <v>690000</v>
      </c>
      <c r="Z25" s="248">
        <v>50000</v>
      </c>
      <c r="AA25" s="248">
        <v>290000</v>
      </c>
      <c r="AB25" s="248">
        <v>50000</v>
      </c>
      <c r="AC25" s="248"/>
      <c r="AD25" s="248">
        <v>50000</v>
      </c>
      <c r="AE25" s="248">
        <v>50000</v>
      </c>
      <c r="AF25" s="248"/>
      <c r="AG25" s="248">
        <v>50000</v>
      </c>
      <c r="AH25" s="248"/>
      <c r="AI25" s="248">
        <v>530000</v>
      </c>
      <c r="AJ25" s="248"/>
      <c r="AK25" s="248"/>
      <c r="AL25" s="248"/>
      <c r="AM25" s="249">
        <f t="shared" si="1"/>
        <v>17</v>
      </c>
    </row>
    <row r="26" spans="2:39" ht="15">
      <c r="B26" s="65" t="s">
        <v>43</v>
      </c>
      <c r="C26" s="255">
        <f t="shared" si="0"/>
        <v>2410000</v>
      </c>
      <c r="D26" s="248">
        <v>50000</v>
      </c>
      <c r="E26" s="248"/>
      <c r="F26" s="248"/>
      <c r="G26" s="248"/>
      <c r="H26" s="248"/>
      <c r="I26" s="248"/>
      <c r="J26" s="248"/>
      <c r="K26" s="248">
        <v>50000</v>
      </c>
      <c r="L26" s="248">
        <v>50000</v>
      </c>
      <c r="M26" s="248">
        <v>50000</v>
      </c>
      <c r="N26" s="248">
        <v>650000</v>
      </c>
      <c r="O26" s="248">
        <v>50000</v>
      </c>
      <c r="P26" s="248">
        <v>50000</v>
      </c>
      <c r="Q26" s="248"/>
      <c r="R26" s="248"/>
      <c r="S26" s="248"/>
      <c r="T26" s="251"/>
      <c r="U26" s="248"/>
      <c r="V26" s="248"/>
      <c r="W26" s="248"/>
      <c r="X26" s="248">
        <v>50000</v>
      </c>
      <c r="Y26" s="248">
        <v>50000</v>
      </c>
      <c r="Z26" s="248">
        <v>530000</v>
      </c>
      <c r="AA26" s="248">
        <v>50000</v>
      </c>
      <c r="AB26" s="248">
        <v>50000</v>
      </c>
      <c r="AC26" s="248">
        <v>50000</v>
      </c>
      <c r="AD26" s="248">
        <v>50000</v>
      </c>
      <c r="AE26" s="248">
        <v>50000</v>
      </c>
      <c r="AF26" s="248"/>
      <c r="AG26" s="248"/>
      <c r="AH26" s="248"/>
      <c r="AI26" s="248"/>
      <c r="AJ26" s="248"/>
      <c r="AK26" s="248">
        <v>290000</v>
      </c>
      <c r="AL26" s="248">
        <v>290000</v>
      </c>
      <c r="AM26" s="249">
        <f t="shared" si="1"/>
        <v>17</v>
      </c>
    </row>
    <row r="27" spans="2:38" ht="15">
      <c r="B27" s="256"/>
      <c r="C27" s="257"/>
      <c r="D27" s="258"/>
      <c r="E27" s="258"/>
      <c r="F27" s="258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  <c r="T27" s="258"/>
      <c r="U27" s="258"/>
      <c r="V27" s="258"/>
      <c r="W27" s="258"/>
      <c r="X27" s="258"/>
      <c r="Y27" s="258"/>
      <c r="Z27" s="258"/>
      <c r="AA27" s="258"/>
      <c r="AB27" s="258"/>
      <c r="AC27" s="258"/>
      <c r="AD27" s="258"/>
      <c r="AE27" s="258"/>
      <c r="AF27" s="258"/>
      <c r="AG27" s="258"/>
      <c r="AH27" s="258"/>
      <c r="AI27" s="256"/>
      <c r="AJ27" s="256"/>
      <c r="AK27" s="256"/>
      <c r="AL27" s="256"/>
    </row>
    <row r="28" spans="2:39" s="79" customFormat="1" ht="15">
      <c r="B28" s="259" t="s">
        <v>64</v>
      </c>
      <c r="C28" s="260"/>
      <c r="D28" s="260">
        <f aca="true" t="shared" si="2" ref="D28:AL28">SUM(D3:D26)</f>
        <v>15800000</v>
      </c>
      <c r="E28" s="260">
        <f t="shared" si="2"/>
        <v>6000000</v>
      </c>
      <c r="F28" s="260">
        <f t="shared" si="2"/>
        <v>6000000</v>
      </c>
      <c r="G28" s="260">
        <f t="shared" si="2"/>
        <v>6200000</v>
      </c>
      <c r="H28" s="260">
        <f t="shared" si="2"/>
        <v>7060000</v>
      </c>
      <c r="I28" s="260">
        <f t="shared" si="2"/>
        <v>6600000</v>
      </c>
      <c r="J28" s="260">
        <f t="shared" si="2"/>
        <v>4950000</v>
      </c>
      <c r="K28" s="260">
        <f t="shared" si="2"/>
        <v>7710000</v>
      </c>
      <c r="L28" s="260">
        <f t="shared" si="2"/>
        <v>7310000</v>
      </c>
      <c r="M28" s="260">
        <f t="shared" si="2"/>
        <v>7260000</v>
      </c>
      <c r="N28" s="260">
        <f t="shared" si="2"/>
        <v>7210000</v>
      </c>
      <c r="O28" s="260">
        <f t="shared" si="2"/>
        <v>9780000</v>
      </c>
      <c r="P28" s="260">
        <f t="shared" si="2"/>
        <v>7260000</v>
      </c>
      <c r="Q28" s="260">
        <f t="shared" si="2"/>
        <v>6110000</v>
      </c>
      <c r="R28" s="260">
        <f t="shared" si="2"/>
        <v>8930000</v>
      </c>
      <c r="S28" s="260">
        <f t="shared" si="2"/>
        <v>6860000</v>
      </c>
      <c r="T28" s="260">
        <f t="shared" si="2"/>
        <v>7510000</v>
      </c>
      <c r="U28" s="260">
        <f t="shared" si="2"/>
        <v>7210000</v>
      </c>
      <c r="V28" s="260">
        <f t="shared" si="2"/>
        <v>7700000</v>
      </c>
      <c r="W28" s="260">
        <f t="shared" si="2"/>
        <v>4850000</v>
      </c>
      <c r="X28" s="260">
        <f t="shared" si="2"/>
        <v>7160000</v>
      </c>
      <c r="Y28" s="260">
        <f t="shared" si="2"/>
        <v>9430000</v>
      </c>
      <c r="Z28" s="260">
        <f t="shared" si="2"/>
        <v>7710000</v>
      </c>
      <c r="AA28" s="260">
        <f t="shared" si="2"/>
        <v>7260000</v>
      </c>
      <c r="AB28" s="260">
        <f t="shared" si="2"/>
        <v>7160000</v>
      </c>
      <c r="AC28" s="260">
        <f t="shared" si="2"/>
        <v>7060000</v>
      </c>
      <c r="AD28" s="260">
        <f t="shared" si="2"/>
        <v>9130000</v>
      </c>
      <c r="AE28" s="260">
        <f t="shared" si="2"/>
        <v>7410000</v>
      </c>
      <c r="AF28" s="260">
        <f t="shared" si="2"/>
        <v>7160000</v>
      </c>
      <c r="AG28" s="260">
        <f t="shared" si="2"/>
        <v>7010000</v>
      </c>
      <c r="AH28" s="260">
        <f t="shared" si="2"/>
        <v>9080000</v>
      </c>
      <c r="AI28" s="260">
        <f t="shared" si="2"/>
        <v>7410000</v>
      </c>
      <c r="AJ28" s="260">
        <f t="shared" si="2"/>
        <v>6960000</v>
      </c>
      <c r="AK28" s="260">
        <f t="shared" si="2"/>
        <v>7060000</v>
      </c>
      <c r="AL28" s="260">
        <f t="shared" si="2"/>
        <v>7060000</v>
      </c>
      <c r="AM28" s="256">
        <f>SUM(AM3:AM26)</f>
        <v>534</v>
      </c>
    </row>
    <row r="30" spans="4:16" ht="15"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</sheetData>
  <sheetProtection selectLockedCells="1" selectUnlockedCells="1"/>
  <autoFilter ref="A2:AM2">
    <sortState ref="A3:AM30">
      <sortCondition descending="1" sortBy="value" ref="C3:C30"/>
    </sortState>
  </autoFilter>
  <printOptions horizontalCentered="1" verticalCentered="1"/>
  <pageMargins left="0.43333333333333335" right="0.43333333333333335" top="0.5513888888888889" bottom="0.5513888888888889" header="0.5118055555555555" footer="0.5118055555555555"/>
  <pageSetup horizontalDpi="300" verticalDpi="300" orientation="landscape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workbookViewId="0" topLeftCell="A1">
      <selection activeCell="A1" sqref="A1:N28"/>
    </sheetView>
  </sheetViews>
  <sheetFormatPr defaultColWidth="9.140625" defaultRowHeight="12.75"/>
  <cols>
    <col min="1" max="1" width="25.140625" style="141" customWidth="1"/>
    <col min="2" max="2" width="7.8515625" style="142" customWidth="1"/>
    <col min="3" max="3" width="8.421875" style="143" customWidth="1"/>
    <col min="4" max="4" width="6.8515625" style="142" customWidth="1"/>
    <col min="5" max="5" width="8.140625" style="142" customWidth="1"/>
    <col min="6" max="6" width="10.140625" style="142" customWidth="1"/>
    <col min="7" max="7" width="9.140625" style="142" customWidth="1"/>
    <col min="8" max="8" width="13.421875" style="142" customWidth="1"/>
    <col min="9" max="9" width="4.8515625" style="11" customWidth="1"/>
    <col min="10" max="10" width="8.421875" style="11" customWidth="1"/>
    <col min="11" max="11" width="7.00390625" style="11" customWidth="1"/>
    <col min="12" max="12" width="7.8515625" style="11" customWidth="1"/>
    <col min="13" max="13" width="7.421875" style="11" customWidth="1"/>
    <col min="14" max="14" width="12.421875" style="11" customWidth="1"/>
    <col min="15" max="15" width="7.421875" style="11" customWidth="1"/>
    <col min="16" max="16384" width="9.140625" style="11" customWidth="1"/>
  </cols>
  <sheetData>
    <row r="1" spans="2:14" s="144" customFormat="1" ht="43.5" customHeight="1">
      <c r="B1" s="419" t="s">
        <v>133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2:14" s="144" customFormat="1" ht="29.25" customHeight="1">
      <c r="B2" s="425" t="s">
        <v>259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4" s="158" customFormat="1" ht="27" customHeight="1">
      <c r="A3" s="147" t="s">
        <v>88</v>
      </c>
      <c r="B3" s="148" t="s">
        <v>89</v>
      </c>
      <c r="C3" s="148" t="s">
        <v>90</v>
      </c>
      <c r="D3" s="148" t="s">
        <v>91</v>
      </c>
      <c r="E3" s="148" t="s">
        <v>92</v>
      </c>
      <c r="F3" s="149" t="s">
        <v>93</v>
      </c>
      <c r="G3" s="150" t="s">
        <v>94</v>
      </c>
      <c r="H3" s="151" t="s">
        <v>95</v>
      </c>
      <c r="I3" s="152"/>
      <c r="J3" s="153" t="s">
        <v>93</v>
      </c>
      <c r="K3" s="154"/>
      <c r="L3" s="155"/>
      <c r="M3" s="156" t="s">
        <v>94</v>
      </c>
      <c r="N3" s="157" t="s">
        <v>96</v>
      </c>
    </row>
    <row r="4" spans="1:14" s="169" customFormat="1" ht="18" customHeight="1">
      <c r="A4" s="278" t="s">
        <v>40</v>
      </c>
      <c r="B4" s="317">
        <v>15.6</v>
      </c>
      <c r="C4" s="160">
        <v>39</v>
      </c>
      <c r="D4" s="161">
        <v>31</v>
      </c>
      <c r="E4" s="162"/>
      <c r="F4" s="160">
        <v>1</v>
      </c>
      <c r="G4" s="160">
        <v>10</v>
      </c>
      <c r="H4" s="163">
        <f aca="true" t="shared" si="0" ref="H4:H11">N4+I4</f>
        <v>1550000</v>
      </c>
      <c r="I4" s="164">
        <f aca="true" t="shared" si="1" ref="I4:I27">IF(E4&gt;0,$N$13,0)+IF(C4&gt;0,50000,0)+IF(C12&lt;0,50000,0)</f>
        <v>50000</v>
      </c>
      <c r="J4" s="165" t="s">
        <v>97</v>
      </c>
      <c r="K4" s="166"/>
      <c r="L4" s="167"/>
      <c r="M4" s="168">
        <v>10</v>
      </c>
      <c r="N4" s="163">
        <f>N12*25%</f>
        <v>1500000</v>
      </c>
    </row>
    <row r="5" spans="1:14" s="169" customFormat="1" ht="18" customHeight="1">
      <c r="A5" s="261" t="s">
        <v>34</v>
      </c>
      <c r="B5" s="318">
        <v>14.3</v>
      </c>
      <c r="C5" s="161">
        <v>35</v>
      </c>
      <c r="D5" s="161">
        <v>35</v>
      </c>
      <c r="E5" s="162"/>
      <c r="F5" s="160">
        <v>2</v>
      </c>
      <c r="G5" s="160">
        <v>8</v>
      </c>
      <c r="H5" s="163">
        <f t="shared" si="0"/>
        <v>1250000</v>
      </c>
      <c r="I5" s="164">
        <f t="shared" si="1"/>
        <v>50000</v>
      </c>
      <c r="J5" s="170" t="s">
        <v>98</v>
      </c>
      <c r="K5" s="171"/>
      <c r="L5" s="172"/>
      <c r="M5" s="173">
        <v>8</v>
      </c>
      <c r="N5" s="163">
        <f>N12*20%</f>
        <v>1200000</v>
      </c>
    </row>
    <row r="6" spans="1:14" s="169" customFormat="1" ht="18" customHeight="1">
      <c r="A6" s="261" t="s">
        <v>32</v>
      </c>
      <c r="B6" s="318">
        <v>13.9</v>
      </c>
      <c r="C6" s="160">
        <v>32</v>
      </c>
      <c r="D6" s="161">
        <v>29</v>
      </c>
      <c r="E6" s="162"/>
      <c r="F6" s="160">
        <v>3</v>
      </c>
      <c r="G6" s="64">
        <v>6</v>
      </c>
      <c r="H6" s="163">
        <f t="shared" si="0"/>
        <v>950000</v>
      </c>
      <c r="I6" s="164">
        <f t="shared" si="1"/>
        <v>50000</v>
      </c>
      <c r="J6" s="170" t="s">
        <v>99</v>
      </c>
      <c r="K6" s="171"/>
      <c r="L6" s="172"/>
      <c r="M6" s="173">
        <v>6</v>
      </c>
      <c r="N6" s="163">
        <f>N12*15%</f>
        <v>900000</v>
      </c>
    </row>
    <row r="7" spans="1:18" s="169" customFormat="1" ht="18" customHeight="1">
      <c r="A7" s="261" t="s">
        <v>18</v>
      </c>
      <c r="B7" s="318">
        <v>18.1</v>
      </c>
      <c r="C7" s="160">
        <v>32</v>
      </c>
      <c r="D7" s="161">
        <v>33</v>
      </c>
      <c r="E7" s="177"/>
      <c r="F7" s="160">
        <v>4</v>
      </c>
      <c r="G7" s="160">
        <v>5</v>
      </c>
      <c r="H7" s="163">
        <f t="shared" si="0"/>
        <v>770000</v>
      </c>
      <c r="I7" s="164">
        <f t="shared" si="1"/>
        <v>50000</v>
      </c>
      <c r="J7" s="170" t="s">
        <v>100</v>
      </c>
      <c r="K7" s="171"/>
      <c r="L7" s="172"/>
      <c r="M7" s="173">
        <v>5</v>
      </c>
      <c r="N7" s="163">
        <f>N12*12%</f>
        <v>720000</v>
      </c>
      <c r="O7" s="175"/>
      <c r="P7" s="175"/>
      <c r="Q7" s="175"/>
      <c r="R7" s="176"/>
    </row>
    <row r="8" spans="1:14" s="169" customFormat="1" ht="18" customHeight="1">
      <c r="A8" s="261" t="s">
        <v>50</v>
      </c>
      <c r="B8" s="318">
        <v>7</v>
      </c>
      <c r="C8" s="161">
        <v>31</v>
      </c>
      <c r="D8" s="181">
        <v>34</v>
      </c>
      <c r="E8" s="177"/>
      <c r="F8" s="160">
        <v>5</v>
      </c>
      <c r="G8" s="160">
        <v>4</v>
      </c>
      <c r="H8" s="163">
        <f t="shared" si="0"/>
        <v>650000</v>
      </c>
      <c r="I8" s="164">
        <f t="shared" si="1"/>
        <v>50000</v>
      </c>
      <c r="J8" s="170" t="s">
        <v>101</v>
      </c>
      <c r="K8" s="171"/>
      <c r="L8" s="172"/>
      <c r="M8" s="173">
        <v>4</v>
      </c>
      <c r="N8" s="163">
        <f>N12*10%</f>
        <v>600000</v>
      </c>
    </row>
    <row r="9" spans="1:14" s="169" customFormat="1" ht="18" customHeight="1">
      <c r="A9" s="261" t="s">
        <v>30</v>
      </c>
      <c r="B9" s="318">
        <v>11.4</v>
      </c>
      <c r="C9" s="160">
        <v>31</v>
      </c>
      <c r="D9" s="181">
        <v>32</v>
      </c>
      <c r="E9" s="162">
        <v>10.36</v>
      </c>
      <c r="F9" s="160">
        <v>6</v>
      </c>
      <c r="G9" s="160">
        <v>3</v>
      </c>
      <c r="H9" s="163">
        <f t="shared" si="0"/>
        <v>890000</v>
      </c>
      <c r="I9" s="164">
        <f t="shared" si="1"/>
        <v>410000</v>
      </c>
      <c r="J9" s="170" t="s">
        <v>102</v>
      </c>
      <c r="K9" s="171"/>
      <c r="L9" s="172"/>
      <c r="M9" s="173">
        <v>3</v>
      </c>
      <c r="N9" s="163">
        <f>N12*8%</f>
        <v>480000</v>
      </c>
    </row>
    <row r="10" spans="1:14" s="169" customFormat="1" ht="18" customHeight="1">
      <c r="A10" s="261" t="s">
        <v>24</v>
      </c>
      <c r="B10" s="318">
        <v>14.8</v>
      </c>
      <c r="C10" s="160">
        <v>31</v>
      </c>
      <c r="D10" s="161">
        <v>34</v>
      </c>
      <c r="E10" s="162"/>
      <c r="F10" s="160">
        <v>7</v>
      </c>
      <c r="G10" s="160">
        <v>2</v>
      </c>
      <c r="H10" s="163">
        <f t="shared" si="0"/>
        <v>410000</v>
      </c>
      <c r="I10" s="164">
        <f t="shared" si="1"/>
        <v>50000</v>
      </c>
      <c r="J10" s="170" t="s">
        <v>103</v>
      </c>
      <c r="K10" s="171"/>
      <c r="L10" s="172"/>
      <c r="M10" s="173">
        <v>2</v>
      </c>
      <c r="N10" s="163">
        <f>N12*6%</f>
        <v>360000</v>
      </c>
    </row>
    <row r="11" spans="1:14" s="169" customFormat="1" ht="18" customHeight="1">
      <c r="A11" s="261" t="s">
        <v>28</v>
      </c>
      <c r="B11" s="318">
        <v>18.3</v>
      </c>
      <c r="C11" s="160">
        <v>30</v>
      </c>
      <c r="D11" s="161">
        <v>33</v>
      </c>
      <c r="E11" s="162"/>
      <c r="F11" s="160">
        <v>8</v>
      </c>
      <c r="G11" s="178">
        <v>1</v>
      </c>
      <c r="H11" s="163">
        <f t="shared" si="0"/>
        <v>290000</v>
      </c>
      <c r="I11" s="164">
        <f t="shared" si="1"/>
        <v>50000</v>
      </c>
      <c r="J11" s="170" t="s">
        <v>104</v>
      </c>
      <c r="K11" s="171"/>
      <c r="L11" s="172"/>
      <c r="M11" s="173">
        <v>1</v>
      </c>
      <c r="N11" s="163">
        <f>N12*4%</f>
        <v>240000</v>
      </c>
    </row>
    <row r="12" spans="1:14" s="169" customFormat="1" ht="18" customHeight="1">
      <c r="A12" s="261" t="s">
        <v>20</v>
      </c>
      <c r="B12" s="318">
        <v>14.8</v>
      </c>
      <c r="C12" s="160">
        <v>29</v>
      </c>
      <c r="D12" s="161">
        <v>36</v>
      </c>
      <c r="E12" s="162"/>
      <c r="F12" s="160"/>
      <c r="G12" s="160"/>
      <c r="H12" s="163">
        <f aca="true" t="shared" si="2" ref="H12:H27">I12</f>
        <v>50000</v>
      </c>
      <c r="I12" s="164">
        <f t="shared" si="1"/>
        <v>50000</v>
      </c>
      <c r="J12" s="179" t="s">
        <v>105</v>
      </c>
      <c r="K12" s="171"/>
      <c r="L12" s="172"/>
      <c r="M12" s="173"/>
      <c r="N12" s="180">
        <v>6000000</v>
      </c>
    </row>
    <row r="13" spans="1:14" s="169" customFormat="1" ht="18" customHeight="1">
      <c r="A13" s="261" t="s">
        <v>10</v>
      </c>
      <c r="B13" s="318">
        <v>22.5</v>
      </c>
      <c r="C13" s="161">
        <v>29</v>
      </c>
      <c r="D13" s="181">
        <v>39</v>
      </c>
      <c r="E13" s="177"/>
      <c r="F13" s="160"/>
      <c r="G13" s="160"/>
      <c r="H13" s="163">
        <f t="shared" si="2"/>
        <v>50000</v>
      </c>
      <c r="I13" s="164">
        <f t="shared" si="1"/>
        <v>50000</v>
      </c>
      <c r="J13" s="182" t="s">
        <v>106</v>
      </c>
      <c r="K13" s="183"/>
      <c r="L13" s="184"/>
      <c r="M13" s="185">
        <v>1</v>
      </c>
      <c r="N13" s="186">
        <f>N10</f>
        <v>360000</v>
      </c>
    </row>
    <row r="14" spans="1:14" s="169" customFormat="1" ht="18" customHeight="1">
      <c r="A14" s="261" t="s">
        <v>54</v>
      </c>
      <c r="B14" s="318">
        <v>26.3</v>
      </c>
      <c r="C14" s="181">
        <v>29</v>
      </c>
      <c r="D14" s="161">
        <v>39</v>
      </c>
      <c r="E14" s="177"/>
      <c r="F14" s="160"/>
      <c r="G14" s="160"/>
      <c r="H14" s="163">
        <f t="shared" si="2"/>
        <v>50000</v>
      </c>
      <c r="I14" s="164">
        <f t="shared" si="1"/>
        <v>50000</v>
      </c>
      <c r="J14" s="187"/>
      <c r="K14" s="183"/>
      <c r="L14" s="183"/>
      <c r="M14" s="188"/>
      <c r="N14" s="189"/>
    </row>
    <row r="15" spans="1:14" s="169" customFormat="1" ht="18" customHeight="1">
      <c r="A15" s="261" t="s">
        <v>58</v>
      </c>
      <c r="B15" s="318">
        <v>20.6</v>
      </c>
      <c r="C15" s="161">
        <v>28</v>
      </c>
      <c r="D15" s="161">
        <v>38</v>
      </c>
      <c r="E15" s="162"/>
      <c r="F15" s="160"/>
      <c r="G15" s="160"/>
      <c r="H15" s="163">
        <f t="shared" si="2"/>
        <v>50000</v>
      </c>
      <c r="I15" s="164">
        <f t="shared" si="1"/>
        <v>50000</v>
      </c>
      <c r="J15" s="190"/>
      <c r="K15" s="191"/>
      <c r="L15" s="191"/>
      <c r="M15" s="192"/>
      <c r="N15" s="193"/>
    </row>
    <row r="16" spans="1:9" s="169" customFormat="1" ht="18" customHeight="1">
      <c r="A16" s="261" t="s">
        <v>44</v>
      </c>
      <c r="B16" s="318">
        <v>17.3</v>
      </c>
      <c r="C16" s="160">
        <v>26</v>
      </c>
      <c r="D16" s="161">
        <v>35</v>
      </c>
      <c r="E16" s="177"/>
      <c r="F16" s="64"/>
      <c r="G16" s="64"/>
      <c r="H16" s="163">
        <f t="shared" si="2"/>
        <v>50000</v>
      </c>
      <c r="I16" s="164">
        <f t="shared" si="1"/>
        <v>50000</v>
      </c>
    </row>
    <row r="17" spans="1:13" s="169" customFormat="1" ht="18" customHeight="1">
      <c r="A17" s="261" t="s">
        <v>42</v>
      </c>
      <c r="B17" s="318">
        <v>24.7</v>
      </c>
      <c r="C17" s="161">
        <v>26</v>
      </c>
      <c r="D17" s="161">
        <v>37</v>
      </c>
      <c r="E17" s="177"/>
      <c r="F17" s="64"/>
      <c r="G17" s="64"/>
      <c r="H17" s="163">
        <f t="shared" si="2"/>
        <v>50000</v>
      </c>
      <c r="I17" s="164">
        <f t="shared" si="1"/>
        <v>50000</v>
      </c>
      <c r="J17" s="175"/>
      <c r="K17" s="175"/>
      <c r="L17" s="175"/>
      <c r="M17" s="176"/>
    </row>
    <row r="18" spans="1:13" s="169" customFormat="1" ht="18" customHeight="1">
      <c r="A18" s="261" t="s">
        <v>46</v>
      </c>
      <c r="B18" s="318">
        <v>14.6</v>
      </c>
      <c r="C18" s="160">
        <v>25</v>
      </c>
      <c r="D18" s="181">
        <v>41</v>
      </c>
      <c r="E18" s="162"/>
      <c r="F18" s="160"/>
      <c r="G18" s="160"/>
      <c r="H18" s="163">
        <f t="shared" si="2"/>
        <v>50000</v>
      </c>
      <c r="I18" s="164">
        <f t="shared" si="1"/>
        <v>50000</v>
      </c>
      <c r="J18" s="176"/>
      <c r="K18" s="176"/>
      <c r="L18" s="176"/>
      <c r="M18" s="176"/>
    </row>
    <row r="19" spans="1:13" s="169" customFormat="1" ht="18" customHeight="1">
      <c r="A19" s="261" t="s">
        <v>36</v>
      </c>
      <c r="B19" s="318">
        <v>15.6</v>
      </c>
      <c r="C19" s="160">
        <v>25</v>
      </c>
      <c r="D19" s="181">
        <v>41</v>
      </c>
      <c r="E19" s="162"/>
      <c r="F19" s="160"/>
      <c r="G19" s="160"/>
      <c r="H19" s="163">
        <f t="shared" si="2"/>
        <v>50000</v>
      </c>
      <c r="I19" s="164">
        <f t="shared" si="1"/>
        <v>50000</v>
      </c>
      <c r="J19" s="176"/>
      <c r="K19" s="176"/>
      <c r="L19" s="176"/>
      <c r="M19" s="176"/>
    </row>
    <row r="20" spans="1:9" s="144" customFormat="1" ht="18" customHeight="1">
      <c r="A20" s="261" t="s">
        <v>12</v>
      </c>
      <c r="B20" s="318">
        <v>12.1</v>
      </c>
      <c r="C20" s="160">
        <v>23</v>
      </c>
      <c r="D20" s="181">
        <v>37</v>
      </c>
      <c r="E20" s="162"/>
      <c r="F20" s="64"/>
      <c r="G20" s="64"/>
      <c r="H20" s="163">
        <f t="shared" si="2"/>
        <v>50000</v>
      </c>
      <c r="I20" s="164">
        <f t="shared" si="1"/>
        <v>50000</v>
      </c>
    </row>
    <row r="21" spans="1:9" s="144" customFormat="1" ht="18" customHeight="1">
      <c r="A21" s="261" t="s">
        <v>38</v>
      </c>
      <c r="B21" s="318">
        <v>21.6</v>
      </c>
      <c r="C21" s="160">
        <v>22</v>
      </c>
      <c r="D21" s="161">
        <v>37</v>
      </c>
      <c r="E21" s="162"/>
      <c r="F21" s="64"/>
      <c r="G21" s="64"/>
      <c r="H21" s="163">
        <f t="shared" si="2"/>
        <v>50000</v>
      </c>
      <c r="I21" s="164">
        <f t="shared" si="1"/>
        <v>50000</v>
      </c>
    </row>
    <row r="22" spans="1:9" s="144" customFormat="1" ht="18" customHeight="1">
      <c r="A22" s="261"/>
      <c r="B22" s="318"/>
      <c r="C22" s="160"/>
      <c r="D22" s="161"/>
      <c r="E22" s="162"/>
      <c r="F22" s="64"/>
      <c r="G22" s="64"/>
      <c r="H22" s="163">
        <f t="shared" si="2"/>
        <v>0</v>
      </c>
      <c r="I22" s="164">
        <f t="shared" si="1"/>
        <v>0</v>
      </c>
    </row>
    <row r="23" spans="1:9" s="144" customFormat="1" ht="18" customHeight="1">
      <c r="A23" s="261"/>
      <c r="B23" s="318"/>
      <c r="C23" s="161"/>
      <c r="D23" s="161"/>
      <c r="E23" s="177"/>
      <c r="F23" s="64"/>
      <c r="G23" s="64"/>
      <c r="H23" s="163">
        <f t="shared" si="2"/>
        <v>0</v>
      </c>
      <c r="I23" s="164">
        <f t="shared" si="1"/>
        <v>0</v>
      </c>
    </row>
    <row r="24" spans="1:9" s="144" customFormat="1" ht="18" customHeight="1">
      <c r="A24" s="261"/>
      <c r="B24" s="318"/>
      <c r="C24" s="64"/>
      <c r="D24" s="181"/>
      <c r="E24" s="162"/>
      <c r="F24" s="64"/>
      <c r="G24" s="64"/>
      <c r="H24" s="163">
        <f t="shared" si="2"/>
        <v>0</v>
      </c>
      <c r="I24" s="164">
        <f t="shared" si="1"/>
        <v>0</v>
      </c>
    </row>
    <row r="25" spans="1:9" s="144" customFormat="1" ht="18" customHeight="1">
      <c r="A25" s="261"/>
      <c r="B25" s="318"/>
      <c r="C25" s="160"/>
      <c r="D25" s="181"/>
      <c r="E25" s="162"/>
      <c r="F25" s="64"/>
      <c r="G25" s="64"/>
      <c r="H25" s="163">
        <f t="shared" si="2"/>
        <v>0</v>
      </c>
      <c r="I25" s="164">
        <f t="shared" si="1"/>
        <v>0</v>
      </c>
    </row>
    <row r="26" spans="1:9" s="144" customFormat="1" ht="18" customHeight="1">
      <c r="A26" s="261"/>
      <c r="B26" s="318"/>
      <c r="C26" s="64"/>
      <c r="D26" s="161"/>
      <c r="E26" s="162"/>
      <c r="F26" s="160"/>
      <c r="G26" s="160"/>
      <c r="H26" s="163">
        <f t="shared" si="2"/>
        <v>0</v>
      </c>
      <c r="I26" s="164">
        <f t="shared" si="1"/>
        <v>0</v>
      </c>
    </row>
    <row r="27" spans="1:9" s="144" customFormat="1" ht="18" customHeight="1">
      <c r="A27" s="261"/>
      <c r="B27" s="318"/>
      <c r="C27" s="160"/>
      <c r="D27" s="161"/>
      <c r="E27" s="177"/>
      <c r="F27" s="160"/>
      <c r="G27" s="160"/>
      <c r="H27" s="163">
        <f t="shared" si="2"/>
        <v>0</v>
      </c>
      <c r="I27" s="164">
        <f t="shared" si="1"/>
        <v>0</v>
      </c>
    </row>
    <row r="28" spans="1:9" ht="24" customHeight="1">
      <c r="A28" s="1"/>
      <c r="B28" s="3"/>
      <c r="C28" s="196"/>
      <c r="D28" s="197">
        <f>SUM(D4:D27)</f>
        <v>641</v>
      </c>
      <c r="E28" s="196"/>
      <c r="F28" s="3"/>
      <c r="G28" s="198">
        <f>SUM(G4:G27)</f>
        <v>39</v>
      </c>
      <c r="H28" s="198">
        <f>SUM(H4:H27)</f>
        <v>7260000</v>
      </c>
      <c r="I28" s="19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8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workbookViewId="0" topLeftCell="A1">
      <selection activeCell="A1" sqref="A1:N28"/>
    </sheetView>
  </sheetViews>
  <sheetFormatPr defaultColWidth="9.140625" defaultRowHeight="12.75"/>
  <cols>
    <col min="1" max="1" width="25.140625" style="141" customWidth="1"/>
    <col min="2" max="2" width="7.8515625" style="142" customWidth="1"/>
    <col min="3" max="3" width="8.421875" style="143" customWidth="1"/>
    <col min="4" max="4" width="6.8515625" style="142" customWidth="1"/>
    <col min="5" max="5" width="8.140625" style="142" customWidth="1"/>
    <col min="6" max="6" width="10.140625" style="142" customWidth="1"/>
    <col min="7" max="7" width="9.140625" style="142" customWidth="1"/>
    <col min="8" max="8" width="13.421875" style="142" customWidth="1"/>
    <col min="9" max="9" width="4.8515625" style="11" customWidth="1"/>
    <col min="10" max="10" width="8.421875" style="11" customWidth="1"/>
    <col min="11" max="11" width="7.00390625" style="11" customWidth="1"/>
    <col min="12" max="12" width="7.8515625" style="11" customWidth="1"/>
    <col min="13" max="13" width="7.421875" style="11" customWidth="1"/>
    <col min="14" max="14" width="12.421875" style="11" customWidth="1"/>
    <col min="15" max="15" width="7.421875" style="11" customWidth="1"/>
    <col min="16" max="16384" width="9.140625" style="11" customWidth="1"/>
  </cols>
  <sheetData>
    <row r="1" spans="2:14" s="144" customFormat="1" ht="43.5" customHeight="1">
      <c r="B1" s="419" t="s">
        <v>135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2:14" s="144" customFormat="1" ht="29.25" customHeight="1">
      <c r="B2" s="425" t="s">
        <v>197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4" s="158" customFormat="1" ht="27" customHeight="1">
      <c r="A3" s="147" t="s">
        <v>88</v>
      </c>
      <c r="B3" s="148" t="s">
        <v>89</v>
      </c>
      <c r="C3" s="148" t="s">
        <v>90</v>
      </c>
      <c r="D3" s="148" t="s">
        <v>91</v>
      </c>
      <c r="E3" s="148" t="s">
        <v>92</v>
      </c>
      <c r="F3" s="149" t="s">
        <v>93</v>
      </c>
      <c r="G3" s="150" t="s">
        <v>94</v>
      </c>
      <c r="H3" s="151" t="s">
        <v>95</v>
      </c>
      <c r="I3" s="152"/>
      <c r="J3" s="153" t="s">
        <v>93</v>
      </c>
      <c r="K3" s="154"/>
      <c r="L3" s="155"/>
      <c r="M3" s="156" t="s">
        <v>94</v>
      </c>
      <c r="N3" s="157" t="s">
        <v>96</v>
      </c>
    </row>
    <row r="4" spans="1:14" s="169" customFormat="1" ht="18" customHeight="1">
      <c r="A4" s="278" t="s">
        <v>34</v>
      </c>
      <c r="B4" s="317">
        <v>14.3</v>
      </c>
      <c r="C4" s="160">
        <v>37</v>
      </c>
      <c r="D4" s="161">
        <v>33</v>
      </c>
      <c r="E4" s="162"/>
      <c r="F4" s="160">
        <v>1</v>
      </c>
      <c r="G4" s="160">
        <v>10</v>
      </c>
      <c r="H4" s="163">
        <f>N4+I4</f>
        <v>1550000</v>
      </c>
      <c r="I4" s="164">
        <f>IF(E4&gt;0,$N$13,0)+IF(C4&gt;0,50000,0)+IF(C12&lt;0,50000,0)</f>
        <v>50000</v>
      </c>
      <c r="J4" s="165" t="s">
        <v>97</v>
      </c>
      <c r="K4" s="166"/>
      <c r="L4" s="167"/>
      <c r="M4" s="168">
        <v>10</v>
      </c>
      <c r="N4" s="163">
        <f>N12*25%</f>
        <v>1500000</v>
      </c>
    </row>
    <row r="5" spans="1:14" s="169" customFormat="1" ht="18" customHeight="1">
      <c r="A5" s="261" t="s">
        <v>30</v>
      </c>
      <c r="B5" s="318">
        <v>11.4</v>
      </c>
      <c r="C5" s="160">
        <v>36</v>
      </c>
      <c r="D5" s="181">
        <v>31</v>
      </c>
      <c r="E5" s="162"/>
      <c r="F5" s="160">
        <v>2</v>
      </c>
      <c r="G5" s="160">
        <v>8</v>
      </c>
      <c r="H5" s="163">
        <f aca="true" t="shared" si="0" ref="H5:H11">N5+I5</f>
        <v>1250000</v>
      </c>
      <c r="I5" s="164">
        <f aca="true" t="shared" si="1" ref="I5:I11">IF(E5&gt;0,$N$13,0)+IF(C5&gt;0,50000,0)+IF(C13&lt;0,50000,0)</f>
        <v>50000</v>
      </c>
      <c r="J5" s="170" t="s">
        <v>98</v>
      </c>
      <c r="K5" s="171"/>
      <c r="L5" s="172"/>
      <c r="M5" s="173">
        <v>8</v>
      </c>
      <c r="N5" s="163">
        <f>N12*20%</f>
        <v>1200000</v>
      </c>
    </row>
    <row r="6" spans="1:14" s="169" customFormat="1" ht="18" customHeight="1">
      <c r="A6" s="261" t="s">
        <v>40</v>
      </c>
      <c r="B6" s="318">
        <v>15.6</v>
      </c>
      <c r="C6" s="64">
        <v>36</v>
      </c>
      <c r="D6" s="161">
        <v>32</v>
      </c>
      <c r="E6" s="162"/>
      <c r="F6" s="64">
        <v>3</v>
      </c>
      <c r="G6" s="64">
        <v>6</v>
      </c>
      <c r="H6" s="163">
        <f t="shared" si="0"/>
        <v>950000</v>
      </c>
      <c r="I6" s="164">
        <f t="shared" si="1"/>
        <v>50000</v>
      </c>
      <c r="J6" s="170" t="s">
        <v>99</v>
      </c>
      <c r="K6" s="171"/>
      <c r="L6" s="172"/>
      <c r="M6" s="173">
        <v>6</v>
      </c>
      <c r="N6" s="163">
        <f>N12*15%</f>
        <v>900000</v>
      </c>
    </row>
    <row r="7" spans="1:18" s="169" customFormat="1" ht="18" customHeight="1">
      <c r="A7" s="261" t="s">
        <v>12</v>
      </c>
      <c r="B7" s="318">
        <v>12.1</v>
      </c>
      <c r="C7" s="160">
        <v>35</v>
      </c>
      <c r="D7" s="161">
        <v>27</v>
      </c>
      <c r="E7" s="162"/>
      <c r="F7" s="160">
        <v>4</v>
      </c>
      <c r="G7" s="160">
        <v>5</v>
      </c>
      <c r="H7" s="163">
        <f t="shared" si="0"/>
        <v>770000</v>
      </c>
      <c r="I7" s="164">
        <f t="shared" si="1"/>
        <v>50000</v>
      </c>
      <c r="J7" s="170" t="s">
        <v>100</v>
      </c>
      <c r="K7" s="171"/>
      <c r="L7" s="172"/>
      <c r="M7" s="173">
        <v>5</v>
      </c>
      <c r="N7" s="163">
        <f>N12*12%</f>
        <v>720000</v>
      </c>
      <c r="O7" s="175"/>
      <c r="P7" s="175"/>
      <c r="Q7" s="175"/>
      <c r="R7" s="176"/>
    </row>
    <row r="8" spans="1:14" s="169" customFormat="1" ht="18" customHeight="1">
      <c r="A8" s="261" t="s">
        <v>58</v>
      </c>
      <c r="B8" s="318">
        <v>20.6</v>
      </c>
      <c r="C8" s="160">
        <v>35</v>
      </c>
      <c r="D8" s="161">
        <v>34</v>
      </c>
      <c r="E8" s="177">
        <v>12.42</v>
      </c>
      <c r="F8" s="160">
        <v>5</v>
      </c>
      <c r="G8" s="160">
        <v>4</v>
      </c>
      <c r="H8" s="163">
        <f t="shared" si="0"/>
        <v>1010000</v>
      </c>
      <c r="I8" s="164">
        <f t="shared" si="1"/>
        <v>410000</v>
      </c>
      <c r="J8" s="170" t="s">
        <v>101</v>
      </c>
      <c r="K8" s="171"/>
      <c r="L8" s="172"/>
      <c r="M8" s="173">
        <v>4</v>
      </c>
      <c r="N8" s="163">
        <f>N12*10%</f>
        <v>600000</v>
      </c>
    </row>
    <row r="9" spans="1:14" s="169" customFormat="1" ht="18" customHeight="1">
      <c r="A9" s="261" t="s">
        <v>14</v>
      </c>
      <c r="B9" s="318">
        <v>18.3</v>
      </c>
      <c r="C9" s="160">
        <v>34</v>
      </c>
      <c r="D9" s="161">
        <v>34</v>
      </c>
      <c r="E9" s="162"/>
      <c r="F9" s="178">
        <v>6</v>
      </c>
      <c r="G9" s="178">
        <v>3</v>
      </c>
      <c r="H9" s="163">
        <f t="shared" si="0"/>
        <v>530000</v>
      </c>
      <c r="I9" s="164">
        <f t="shared" si="1"/>
        <v>50000</v>
      </c>
      <c r="J9" s="170" t="s">
        <v>102</v>
      </c>
      <c r="K9" s="171"/>
      <c r="L9" s="172"/>
      <c r="M9" s="173">
        <v>3</v>
      </c>
      <c r="N9" s="163">
        <f>N12*8%</f>
        <v>480000</v>
      </c>
    </row>
    <row r="10" spans="1:14" s="169" customFormat="1" ht="18" customHeight="1">
      <c r="A10" s="261" t="s">
        <v>16</v>
      </c>
      <c r="B10" s="318">
        <v>9.4</v>
      </c>
      <c r="C10" s="161">
        <v>33</v>
      </c>
      <c r="D10" s="181">
        <v>33</v>
      </c>
      <c r="E10" s="162"/>
      <c r="F10" s="160">
        <v>7</v>
      </c>
      <c r="G10" s="160">
        <v>2</v>
      </c>
      <c r="H10" s="163">
        <f t="shared" si="0"/>
        <v>410000</v>
      </c>
      <c r="I10" s="164">
        <f t="shared" si="1"/>
        <v>50000</v>
      </c>
      <c r="J10" s="170" t="s">
        <v>103</v>
      </c>
      <c r="K10" s="171"/>
      <c r="L10" s="172"/>
      <c r="M10" s="173">
        <v>2</v>
      </c>
      <c r="N10" s="163">
        <f>N12*6%</f>
        <v>360000</v>
      </c>
    </row>
    <row r="11" spans="1:14" s="169" customFormat="1" ht="18" customHeight="1">
      <c r="A11" s="261" t="s">
        <v>32</v>
      </c>
      <c r="B11" s="318">
        <v>13.9</v>
      </c>
      <c r="C11" s="160">
        <v>31</v>
      </c>
      <c r="D11" s="161">
        <v>36</v>
      </c>
      <c r="E11" s="162"/>
      <c r="F11" s="160">
        <v>8</v>
      </c>
      <c r="G11" s="160">
        <v>1</v>
      </c>
      <c r="H11" s="163">
        <f t="shared" si="0"/>
        <v>290000</v>
      </c>
      <c r="I11" s="164">
        <f t="shared" si="1"/>
        <v>50000</v>
      </c>
      <c r="J11" s="170" t="s">
        <v>104</v>
      </c>
      <c r="K11" s="171"/>
      <c r="L11" s="172"/>
      <c r="M11" s="173">
        <v>1</v>
      </c>
      <c r="N11" s="163">
        <f>N12*4%</f>
        <v>240000</v>
      </c>
    </row>
    <row r="12" spans="1:14" s="169" customFormat="1" ht="18" customHeight="1">
      <c r="A12" s="261" t="s">
        <v>42</v>
      </c>
      <c r="B12" s="318">
        <v>24.7</v>
      </c>
      <c r="C12" s="160">
        <v>31</v>
      </c>
      <c r="D12" s="161">
        <v>41</v>
      </c>
      <c r="E12" s="162"/>
      <c r="F12" s="160"/>
      <c r="G12" s="160"/>
      <c r="H12" s="163">
        <f>I12</f>
        <v>50000</v>
      </c>
      <c r="I12" s="164">
        <f>IF(E12&gt;0,$N$13,0)+IF(C12&gt;0,50000,0)+IF(C12&lt;0,50000,0)</f>
        <v>50000</v>
      </c>
      <c r="J12" s="179" t="s">
        <v>105</v>
      </c>
      <c r="K12" s="171"/>
      <c r="L12" s="172"/>
      <c r="M12" s="173"/>
      <c r="N12" s="180">
        <v>6000000</v>
      </c>
    </row>
    <row r="13" spans="1:14" s="169" customFormat="1" ht="18" customHeight="1">
      <c r="A13" s="261" t="s">
        <v>52</v>
      </c>
      <c r="B13" s="318">
        <v>10.3</v>
      </c>
      <c r="C13" s="160">
        <v>30</v>
      </c>
      <c r="D13" s="161">
        <v>33</v>
      </c>
      <c r="E13" s="177"/>
      <c r="F13" s="160"/>
      <c r="G13" s="160"/>
      <c r="H13" s="163">
        <f aca="true" t="shared" si="2" ref="H13:H27">I13</f>
        <v>50000</v>
      </c>
      <c r="I13" s="164">
        <f aca="true" t="shared" si="3" ref="I13:I27">IF(E13&gt;0,$N$13,0)+IF(C13&gt;0,50000,0)+IF(C13&lt;0,50000,0)</f>
        <v>50000</v>
      </c>
      <c r="J13" s="182" t="s">
        <v>106</v>
      </c>
      <c r="K13" s="183"/>
      <c r="L13" s="184"/>
      <c r="M13" s="185">
        <v>1</v>
      </c>
      <c r="N13" s="186">
        <f>N10</f>
        <v>360000</v>
      </c>
    </row>
    <row r="14" spans="1:14" s="169" customFormat="1" ht="18" customHeight="1">
      <c r="A14" s="261" t="s">
        <v>36</v>
      </c>
      <c r="B14" s="318">
        <v>15.6</v>
      </c>
      <c r="C14" s="161">
        <v>29</v>
      </c>
      <c r="D14" s="161">
        <v>36</v>
      </c>
      <c r="E14" s="162"/>
      <c r="F14" s="160"/>
      <c r="G14" s="160"/>
      <c r="H14" s="163">
        <f t="shared" si="2"/>
        <v>50000</v>
      </c>
      <c r="I14" s="164">
        <f t="shared" si="3"/>
        <v>50000</v>
      </c>
      <c r="J14" s="187"/>
      <c r="K14" s="183"/>
      <c r="L14" s="183"/>
      <c r="M14" s="188"/>
      <c r="N14" s="189"/>
    </row>
    <row r="15" spans="1:14" s="169" customFormat="1" ht="18" customHeight="1">
      <c r="A15" s="261" t="s">
        <v>44</v>
      </c>
      <c r="B15" s="318">
        <v>17.3</v>
      </c>
      <c r="C15" s="181">
        <v>29</v>
      </c>
      <c r="D15" s="161">
        <v>35</v>
      </c>
      <c r="E15" s="177"/>
      <c r="F15" s="160"/>
      <c r="G15" s="160"/>
      <c r="H15" s="163">
        <f t="shared" si="2"/>
        <v>50000</v>
      </c>
      <c r="I15" s="164">
        <f t="shared" si="3"/>
        <v>50000</v>
      </c>
      <c r="J15" s="190"/>
      <c r="K15" s="191"/>
      <c r="L15" s="191"/>
      <c r="M15" s="192"/>
      <c r="N15" s="193"/>
    </row>
    <row r="16" spans="1:9" s="169" customFormat="1" ht="18" customHeight="1">
      <c r="A16" s="261" t="s">
        <v>54</v>
      </c>
      <c r="B16" s="318">
        <v>26.3</v>
      </c>
      <c r="C16" s="161">
        <v>29</v>
      </c>
      <c r="D16" s="161">
        <v>37</v>
      </c>
      <c r="E16" s="177"/>
      <c r="F16" s="64"/>
      <c r="G16" s="64"/>
      <c r="H16" s="163">
        <f t="shared" si="2"/>
        <v>50000</v>
      </c>
      <c r="I16" s="164">
        <f t="shared" si="3"/>
        <v>50000</v>
      </c>
    </row>
    <row r="17" spans="1:13" s="169" customFormat="1" ht="18" customHeight="1">
      <c r="A17" s="261" t="s">
        <v>50</v>
      </c>
      <c r="B17" s="318">
        <v>7</v>
      </c>
      <c r="C17" s="160">
        <v>26</v>
      </c>
      <c r="D17" s="161">
        <v>39</v>
      </c>
      <c r="E17" s="162"/>
      <c r="F17" s="64"/>
      <c r="G17" s="64"/>
      <c r="H17" s="163">
        <f t="shared" si="2"/>
        <v>50000</v>
      </c>
      <c r="I17" s="164">
        <f t="shared" si="3"/>
        <v>50000</v>
      </c>
      <c r="J17" s="175"/>
      <c r="K17" s="175"/>
      <c r="L17" s="175"/>
      <c r="M17" s="176"/>
    </row>
    <row r="18" spans="1:13" s="169" customFormat="1" ht="18" customHeight="1">
      <c r="A18" s="261" t="s">
        <v>20</v>
      </c>
      <c r="B18" s="318">
        <v>14.8</v>
      </c>
      <c r="C18" s="160">
        <v>26</v>
      </c>
      <c r="D18" s="181">
        <v>27</v>
      </c>
      <c r="E18" s="177"/>
      <c r="F18" s="160"/>
      <c r="G18" s="160"/>
      <c r="H18" s="163">
        <f t="shared" si="2"/>
        <v>50000</v>
      </c>
      <c r="I18" s="164">
        <f t="shared" si="3"/>
        <v>50000</v>
      </c>
      <c r="J18" s="176"/>
      <c r="K18" s="176"/>
      <c r="L18" s="176"/>
      <c r="M18" s="176"/>
    </row>
    <row r="19" spans="1:13" s="169" customFormat="1" ht="18" customHeight="1">
      <c r="A19" s="261" t="s">
        <v>28</v>
      </c>
      <c r="B19" s="318">
        <v>18.3</v>
      </c>
      <c r="C19" s="160">
        <v>18</v>
      </c>
      <c r="D19" s="161">
        <v>42</v>
      </c>
      <c r="E19" s="162"/>
      <c r="F19" s="160"/>
      <c r="G19" s="160"/>
      <c r="H19" s="163">
        <f t="shared" si="2"/>
        <v>50000</v>
      </c>
      <c r="I19" s="164">
        <f t="shared" si="3"/>
        <v>50000</v>
      </c>
      <c r="J19" s="176"/>
      <c r="K19" s="176"/>
      <c r="L19" s="176"/>
      <c r="M19" s="176"/>
    </row>
    <row r="20" spans="1:9" s="144" customFormat="1" ht="18" customHeight="1">
      <c r="A20" s="261"/>
      <c r="B20" s="318"/>
      <c r="C20" s="161"/>
      <c r="D20" s="161"/>
      <c r="E20" s="162"/>
      <c r="F20" s="64"/>
      <c r="G20" s="64"/>
      <c r="H20" s="163">
        <f t="shared" si="2"/>
        <v>0</v>
      </c>
      <c r="I20" s="164">
        <f t="shared" si="3"/>
        <v>0</v>
      </c>
    </row>
    <row r="21" spans="1:9" s="144" customFormat="1" ht="18" customHeight="1">
      <c r="A21" s="261"/>
      <c r="B21" s="318"/>
      <c r="C21" s="160"/>
      <c r="D21" s="181"/>
      <c r="E21" s="162"/>
      <c r="F21" s="64"/>
      <c r="G21" s="64"/>
      <c r="H21" s="163">
        <f t="shared" si="2"/>
        <v>0</v>
      </c>
      <c r="I21" s="164">
        <f t="shared" si="3"/>
        <v>0</v>
      </c>
    </row>
    <row r="22" spans="1:9" s="144" customFormat="1" ht="18" customHeight="1">
      <c r="A22" s="261"/>
      <c r="B22" s="318"/>
      <c r="C22" s="160"/>
      <c r="D22" s="181"/>
      <c r="E22" s="162"/>
      <c r="F22" s="64"/>
      <c r="G22" s="64"/>
      <c r="H22" s="163">
        <f t="shared" si="2"/>
        <v>0</v>
      </c>
      <c r="I22" s="164">
        <f t="shared" si="3"/>
        <v>0</v>
      </c>
    </row>
    <row r="23" spans="1:9" s="144" customFormat="1" ht="18" customHeight="1">
      <c r="A23" s="261"/>
      <c r="B23" s="318"/>
      <c r="C23" s="64"/>
      <c r="D23" s="181"/>
      <c r="E23" s="162"/>
      <c r="F23" s="64"/>
      <c r="G23" s="64"/>
      <c r="H23" s="163">
        <f t="shared" si="2"/>
        <v>0</v>
      </c>
      <c r="I23" s="164">
        <f t="shared" si="3"/>
        <v>0</v>
      </c>
    </row>
    <row r="24" spans="1:9" s="144" customFormat="1" ht="18" customHeight="1">
      <c r="A24" s="261"/>
      <c r="B24" s="318"/>
      <c r="C24" s="161"/>
      <c r="D24" s="181"/>
      <c r="E24" s="177"/>
      <c r="F24" s="64"/>
      <c r="G24" s="64"/>
      <c r="H24" s="163">
        <f t="shared" si="2"/>
        <v>0</v>
      </c>
      <c r="I24" s="164">
        <f t="shared" si="3"/>
        <v>0</v>
      </c>
    </row>
    <row r="25" spans="1:9" s="144" customFormat="1" ht="18" customHeight="1">
      <c r="A25" s="261"/>
      <c r="B25" s="318"/>
      <c r="C25" s="161"/>
      <c r="D25" s="161"/>
      <c r="E25" s="177"/>
      <c r="F25" s="64"/>
      <c r="G25" s="64"/>
      <c r="H25" s="163">
        <f t="shared" si="2"/>
        <v>0</v>
      </c>
      <c r="I25" s="164">
        <f t="shared" si="3"/>
        <v>0</v>
      </c>
    </row>
    <row r="26" spans="1:9" s="144" customFormat="1" ht="18" customHeight="1">
      <c r="A26" s="261"/>
      <c r="B26" s="318"/>
      <c r="C26" s="160"/>
      <c r="D26" s="181"/>
      <c r="E26" s="177"/>
      <c r="F26" s="160"/>
      <c r="G26" s="160"/>
      <c r="H26" s="163">
        <f t="shared" si="2"/>
        <v>0</v>
      </c>
      <c r="I26" s="164">
        <f t="shared" si="3"/>
        <v>0</v>
      </c>
    </row>
    <row r="27" spans="1:9" s="144" customFormat="1" ht="18" customHeight="1">
      <c r="A27" s="261"/>
      <c r="B27" s="318"/>
      <c r="C27" s="160"/>
      <c r="D27" s="161"/>
      <c r="E27" s="162"/>
      <c r="F27" s="160"/>
      <c r="G27" s="160"/>
      <c r="H27" s="163">
        <f t="shared" si="2"/>
        <v>0</v>
      </c>
      <c r="I27" s="164">
        <f t="shared" si="3"/>
        <v>0</v>
      </c>
    </row>
    <row r="28" spans="1:9" ht="24" customHeight="1">
      <c r="A28" s="1"/>
      <c r="B28" s="3"/>
      <c r="C28" s="196"/>
      <c r="D28" s="197">
        <f>SUM(D4:D27)</f>
        <v>550</v>
      </c>
      <c r="E28" s="196"/>
      <c r="F28" s="3"/>
      <c r="G28" s="198">
        <f>SUM(G4:G27)</f>
        <v>39</v>
      </c>
      <c r="H28" s="198">
        <f>SUM(H4:H27)</f>
        <v>7160000</v>
      </c>
      <c r="I28" s="19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8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workbookViewId="0" topLeftCell="A1">
      <selection activeCell="A1" sqref="A1:N28"/>
    </sheetView>
  </sheetViews>
  <sheetFormatPr defaultColWidth="9.140625" defaultRowHeight="12.75"/>
  <cols>
    <col min="1" max="1" width="25.140625" style="141" customWidth="1"/>
    <col min="2" max="2" width="7.8515625" style="142" customWidth="1"/>
    <col min="3" max="3" width="8.421875" style="143" customWidth="1"/>
    <col min="4" max="4" width="6.8515625" style="142" customWidth="1"/>
    <col min="5" max="5" width="8.140625" style="142" customWidth="1"/>
    <col min="6" max="6" width="10.140625" style="142" customWidth="1"/>
    <col min="7" max="7" width="9.140625" style="142" customWidth="1"/>
    <col min="8" max="8" width="13.421875" style="142" customWidth="1"/>
    <col min="9" max="9" width="4.8515625" style="11" customWidth="1"/>
    <col min="10" max="10" width="8.421875" style="11" customWidth="1"/>
    <col min="11" max="11" width="7.00390625" style="11" customWidth="1"/>
    <col min="12" max="12" width="7.8515625" style="11" customWidth="1"/>
    <col min="13" max="13" width="7.421875" style="11" customWidth="1"/>
    <col min="14" max="14" width="12.421875" style="11" customWidth="1"/>
    <col min="15" max="15" width="7.421875" style="11" customWidth="1"/>
    <col min="16" max="16384" width="9.140625" style="11" customWidth="1"/>
  </cols>
  <sheetData>
    <row r="1" spans="2:14" s="144" customFormat="1" ht="43.5" customHeight="1">
      <c r="B1" s="419" t="s">
        <v>136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2:14" s="144" customFormat="1" ht="29.25" customHeight="1">
      <c r="B2" s="425" t="s">
        <v>252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4" s="158" customFormat="1" ht="27" customHeight="1">
      <c r="A3" s="147" t="s">
        <v>88</v>
      </c>
      <c r="B3" s="148" t="s">
        <v>89</v>
      </c>
      <c r="C3" s="148" t="s">
        <v>90</v>
      </c>
      <c r="D3" s="148" t="s">
        <v>91</v>
      </c>
      <c r="E3" s="148" t="s">
        <v>92</v>
      </c>
      <c r="F3" s="149" t="s">
        <v>93</v>
      </c>
      <c r="G3" s="150" t="s">
        <v>94</v>
      </c>
      <c r="H3" s="151" t="s">
        <v>95</v>
      </c>
      <c r="I3" s="152"/>
      <c r="J3" s="153" t="s">
        <v>93</v>
      </c>
      <c r="K3" s="154"/>
      <c r="L3" s="155"/>
      <c r="M3" s="156" t="s">
        <v>94</v>
      </c>
      <c r="N3" s="157" t="s">
        <v>96</v>
      </c>
    </row>
    <row r="4" spans="1:14" s="169" customFormat="1" ht="18" customHeight="1">
      <c r="A4" s="278" t="s">
        <v>40</v>
      </c>
      <c r="B4" s="279">
        <v>15.6</v>
      </c>
      <c r="C4" s="160">
        <v>36</v>
      </c>
      <c r="D4" s="161">
        <v>33</v>
      </c>
      <c r="E4" s="162"/>
      <c r="F4" s="160">
        <v>1</v>
      </c>
      <c r="G4" s="160">
        <v>10</v>
      </c>
      <c r="H4" s="163">
        <f>N4+I4</f>
        <v>1550000</v>
      </c>
      <c r="I4" s="164">
        <f>IF(E4&gt;0,$N$13,0)+IF(C4&gt;0,50000,0)+IF(C12&lt;0,50000,0)</f>
        <v>50000</v>
      </c>
      <c r="J4" s="165" t="s">
        <v>97</v>
      </c>
      <c r="K4" s="166"/>
      <c r="L4" s="167"/>
      <c r="M4" s="168">
        <v>10</v>
      </c>
      <c r="N4" s="163">
        <f>N12*25%</f>
        <v>1500000</v>
      </c>
    </row>
    <row r="5" spans="1:14" s="169" customFormat="1" ht="18" customHeight="1">
      <c r="A5" s="261" t="s">
        <v>56</v>
      </c>
      <c r="B5" s="281">
        <v>13.7</v>
      </c>
      <c r="C5" s="161">
        <v>33</v>
      </c>
      <c r="D5" s="161">
        <v>29</v>
      </c>
      <c r="E5" s="162"/>
      <c r="F5" s="160">
        <v>2</v>
      </c>
      <c r="G5" s="160">
        <v>8</v>
      </c>
      <c r="H5" s="163">
        <f aca="true" t="shared" si="0" ref="H5:H11">N5+I5</f>
        <v>1250000</v>
      </c>
      <c r="I5" s="164">
        <f aca="true" t="shared" si="1" ref="I5:I11">IF(E5&gt;0,$N$13,0)+IF(C5&gt;0,50000,0)+IF(C13&lt;0,50000,0)</f>
        <v>50000</v>
      </c>
      <c r="J5" s="170" t="s">
        <v>98</v>
      </c>
      <c r="K5" s="171"/>
      <c r="L5" s="172"/>
      <c r="M5" s="173">
        <v>8</v>
      </c>
      <c r="N5" s="163">
        <f>N12*20%</f>
        <v>1200000</v>
      </c>
    </row>
    <row r="6" spans="1:14" s="169" customFormat="1" ht="18" customHeight="1">
      <c r="A6" s="261" t="s">
        <v>36</v>
      </c>
      <c r="B6" s="281">
        <v>15.5</v>
      </c>
      <c r="C6" s="160">
        <v>31</v>
      </c>
      <c r="D6" s="161">
        <v>32</v>
      </c>
      <c r="E6" s="177">
        <v>3.57</v>
      </c>
      <c r="F6" s="64">
        <v>3</v>
      </c>
      <c r="G6" s="64">
        <v>6</v>
      </c>
      <c r="H6" s="163">
        <f t="shared" si="0"/>
        <v>1310000</v>
      </c>
      <c r="I6" s="164">
        <f t="shared" si="1"/>
        <v>410000</v>
      </c>
      <c r="J6" s="170" t="s">
        <v>99</v>
      </c>
      <c r="K6" s="171"/>
      <c r="L6" s="172"/>
      <c r="M6" s="173">
        <v>6</v>
      </c>
      <c r="N6" s="163">
        <f>N12*15%</f>
        <v>900000</v>
      </c>
    </row>
    <row r="7" spans="1:18" s="169" customFormat="1" ht="18" customHeight="1">
      <c r="A7" s="261" t="s">
        <v>30</v>
      </c>
      <c r="B7" s="281">
        <v>11.3</v>
      </c>
      <c r="C7" s="64">
        <v>30</v>
      </c>
      <c r="D7" s="161">
        <v>35</v>
      </c>
      <c r="E7" s="162"/>
      <c r="F7" s="160">
        <v>4</v>
      </c>
      <c r="G7" s="160">
        <v>5</v>
      </c>
      <c r="H7" s="163">
        <f t="shared" si="0"/>
        <v>770000</v>
      </c>
      <c r="I7" s="164">
        <f t="shared" si="1"/>
        <v>50000</v>
      </c>
      <c r="J7" s="170" t="s">
        <v>100</v>
      </c>
      <c r="K7" s="171"/>
      <c r="L7" s="172"/>
      <c r="M7" s="173">
        <v>5</v>
      </c>
      <c r="N7" s="163">
        <f>N12*12%</f>
        <v>720000</v>
      </c>
      <c r="O7" s="175"/>
      <c r="P7" s="175"/>
      <c r="Q7" s="175"/>
      <c r="R7" s="176"/>
    </row>
    <row r="8" spans="1:14" s="169" customFormat="1" ht="18" customHeight="1">
      <c r="A8" s="261" t="s">
        <v>34</v>
      </c>
      <c r="B8" s="281">
        <v>14.2</v>
      </c>
      <c r="C8" s="161">
        <v>30</v>
      </c>
      <c r="D8" s="181">
        <v>30</v>
      </c>
      <c r="E8" s="162"/>
      <c r="F8" s="160">
        <v>5</v>
      </c>
      <c r="G8" s="160">
        <v>4</v>
      </c>
      <c r="H8" s="163">
        <f t="shared" si="0"/>
        <v>650000</v>
      </c>
      <c r="I8" s="164">
        <f t="shared" si="1"/>
        <v>50000</v>
      </c>
      <c r="J8" s="170" t="s">
        <v>101</v>
      </c>
      <c r="K8" s="171"/>
      <c r="L8" s="172"/>
      <c r="M8" s="173">
        <v>4</v>
      </c>
      <c r="N8" s="163">
        <f>N12*10%</f>
        <v>600000</v>
      </c>
    </row>
    <row r="9" spans="1:14" s="169" customFormat="1" ht="18" customHeight="1">
      <c r="A9" s="261" t="s">
        <v>16</v>
      </c>
      <c r="B9" s="281">
        <v>9.3</v>
      </c>
      <c r="C9" s="161">
        <v>29</v>
      </c>
      <c r="D9" s="181">
        <v>29</v>
      </c>
      <c r="E9" s="162"/>
      <c r="F9" s="178">
        <v>6</v>
      </c>
      <c r="G9" s="178">
        <v>3</v>
      </c>
      <c r="H9" s="163">
        <f t="shared" si="0"/>
        <v>530000</v>
      </c>
      <c r="I9" s="164">
        <f t="shared" si="1"/>
        <v>50000</v>
      </c>
      <c r="J9" s="170" t="s">
        <v>102</v>
      </c>
      <c r="K9" s="171"/>
      <c r="L9" s="172"/>
      <c r="M9" s="173">
        <v>3</v>
      </c>
      <c r="N9" s="163">
        <f>N12*8%</f>
        <v>480000</v>
      </c>
    </row>
    <row r="10" spans="1:14" s="169" customFormat="1" ht="18" customHeight="1">
      <c r="A10" s="261" t="s">
        <v>14</v>
      </c>
      <c r="B10" s="281">
        <v>18.2</v>
      </c>
      <c r="C10" s="160">
        <v>29</v>
      </c>
      <c r="D10" s="161">
        <v>35</v>
      </c>
      <c r="E10" s="162"/>
      <c r="F10" s="160">
        <v>7</v>
      </c>
      <c r="G10" s="160">
        <v>2</v>
      </c>
      <c r="H10" s="163">
        <f t="shared" si="0"/>
        <v>410000</v>
      </c>
      <c r="I10" s="164">
        <f t="shared" si="1"/>
        <v>50000</v>
      </c>
      <c r="J10" s="170" t="s">
        <v>103</v>
      </c>
      <c r="K10" s="171"/>
      <c r="L10" s="172"/>
      <c r="M10" s="173">
        <v>2</v>
      </c>
      <c r="N10" s="163">
        <f>N12*6%</f>
        <v>360000</v>
      </c>
    </row>
    <row r="11" spans="1:14" s="169" customFormat="1" ht="18" customHeight="1">
      <c r="A11" s="261" t="s">
        <v>38</v>
      </c>
      <c r="B11" s="281">
        <v>21.8</v>
      </c>
      <c r="C11" s="161">
        <v>29</v>
      </c>
      <c r="D11" s="161">
        <v>37</v>
      </c>
      <c r="E11" s="177"/>
      <c r="F11" s="160">
        <v>8</v>
      </c>
      <c r="G11" s="160">
        <v>1</v>
      </c>
      <c r="H11" s="163">
        <f t="shared" si="0"/>
        <v>290000</v>
      </c>
      <c r="I11" s="164">
        <f t="shared" si="1"/>
        <v>50000</v>
      </c>
      <c r="J11" s="170" t="s">
        <v>104</v>
      </c>
      <c r="K11" s="171"/>
      <c r="L11" s="172"/>
      <c r="M11" s="173">
        <v>1</v>
      </c>
      <c r="N11" s="163">
        <f>N12*4%</f>
        <v>240000</v>
      </c>
    </row>
    <row r="12" spans="1:14" s="169" customFormat="1" ht="18" customHeight="1">
      <c r="A12" s="261" t="s">
        <v>44</v>
      </c>
      <c r="B12" s="281">
        <v>17.2</v>
      </c>
      <c r="C12" s="161">
        <v>28</v>
      </c>
      <c r="D12" s="161">
        <v>36</v>
      </c>
      <c r="E12" s="177"/>
      <c r="F12" s="160"/>
      <c r="G12" s="160"/>
      <c r="H12" s="163">
        <f>I12</f>
        <v>50000</v>
      </c>
      <c r="I12" s="164">
        <f>IF(E12&gt;0,$N$13,0)+IF(C12&gt;0,50000,0)+IF(C12&lt;0,50000,0)</f>
        <v>50000</v>
      </c>
      <c r="J12" s="179" t="s">
        <v>105</v>
      </c>
      <c r="K12" s="171"/>
      <c r="L12" s="172"/>
      <c r="M12" s="173"/>
      <c r="N12" s="180">
        <v>6000000</v>
      </c>
    </row>
    <row r="13" spans="1:14" s="169" customFormat="1" ht="18" customHeight="1">
      <c r="A13" s="261" t="s">
        <v>32</v>
      </c>
      <c r="B13" s="281">
        <v>13.8</v>
      </c>
      <c r="C13" s="160">
        <v>26</v>
      </c>
      <c r="D13" s="181">
        <v>35</v>
      </c>
      <c r="E13" s="162"/>
      <c r="F13" s="160"/>
      <c r="G13" s="160"/>
      <c r="H13" s="163">
        <f aca="true" t="shared" si="2" ref="H13:H27">I13</f>
        <v>50000</v>
      </c>
      <c r="I13" s="164">
        <f aca="true" t="shared" si="3" ref="I13:I27">IF(E13&gt;0,$N$13,0)+IF(C13&gt;0,50000,0)+IF(C13&lt;0,50000,0)</f>
        <v>50000</v>
      </c>
      <c r="J13" s="182" t="s">
        <v>106</v>
      </c>
      <c r="K13" s="183"/>
      <c r="L13" s="184"/>
      <c r="M13" s="185">
        <v>1</v>
      </c>
      <c r="N13" s="186">
        <f>N10</f>
        <v>360000</v>
      </c>
    </row>
    <row r="14" spans="1:14" s="169" customFormat="1" ht="18" customHeight="1">
      <c r="A14" s="261" t="s">
        <v>12</v>
      </c>
      <c r="B14" s="281">
        <v>12</v>
      </c>
      <c r="C14" s="181">
        <v>22</v>
      </c>
      <c r="D14" s="161">
        <v>36</v>
      </c>
      <c r="E14" s="177"/>
      <c r="F14" s="160"/>
      <c r="G14" s="160"/>
      <c r="H14" s="163">
        <f t="shared" si="2"/>
        <v>50000</v>
      </c>
      <c r="I14" s="164">
        <f t="shared" si="3"/>
        <v>50000</v>
      </c>
      <c r="J14" s="187"/>
      <c r="K14" s="183"/>
      <c r="L14" s="183"/>
      <c r="M14" s="188"/>
      <c r="N14" s="189"/>
    </row>
    <row r="15" spans="1:14" s="169" customFormat="1" ht="18" customHeight="1">
      <c r="A15" s="261" t="s">
        <v>18</v>
      </c>
      <c r="B15" s="281">
        <v>17.6</v>
      </c>
      <c r="C15" s="160">
        <v>21</v>
      </c>
      <c r="D15" s="161">
        <v>43</v>
      </c>
      <c r="E15" s="177"/>
      <c r="F15" s="160"/>
      <c r="G15" s="160"/>
      <c r="H15" s="163">
        <f t="shared" si="2"/>
        <v>50000</v>
      </c>
      <c r="I15" s="164">
        <f t="shared" si="3"/>
        <v>50000</v>
      </c>
      <c r="J15" s="190"/>
      <c r="K15" s="191"/>
      <c r="L15" s="191"/>
      <c r="M15" s="192"/>
      <c r="N15" s="193"/>
    </row>
    <row r="16" spans="1:9" s="169" customFormat="1" ht="18" customHeight="1">
      <c r="A16" s="261" t="s">
        <v>42</v>
      </c>
      <c r="B16" s="281">
        <v>24.6</v>
      </c>
      <c r="C16" s="160">
        <v>21</v>
      </c>
      <c r="D16" s="161">
        <v>42</v>
      </c>
      <c r="E16" s="162"/>
      <c r="F16" s="64"/>
      <c r="G16" s="64"/>
      <c r="H16" s="163">
        <f t="shared" si="2"/>
        <v>50000</v>
      </c>
      <c r="I16" s="164">
        <f t="shared" si="3"/>
        <v>50000</v>
      </c>
    </row>
    <row r="17" spans="1:13" s="169" customFormat="1" ht="18" customHeight="1">
      <c r="A17" s="261" t="s">
        <v>48</v>
      </c>
      <c r="B17" s="281">
        <v>21.4</v>
      </c>
      <c r="C17" s="161">
        <v>20</v>
      </c>
      <c r="D17" s="161">
        <v>36</v>
      </c>
      <c r="E17" s="162"/>
      <c r="F17" s="64"/>
      <c r="G17" s="64"/>
      <c r="H17" s="163">
        <f t="shared" si="2"/>
        <v>50000</v>
      </c>
      <c r="I17" s="164">
        <f t="shared" si="3"/>
        <v>50000</v>
      </c>
      <c r="J17" s="175"/>
      <c r="K17" s="175"/>
      <c r="L17" s="175"/>
      <c r="M17" s="176"/>
    </row>
    <row r="18" spans="1:13" s="169" customFormat="1" ht="18" customHeight="1">
      <c r="A18" s="261"/>
      <c r="B18" s="281"/>
      <c r="C18" s="160"/>
      <c r="D18" s="161"/>
      <c r="E18" s="177"/>
      <c r="F18" s="160"/>
      <c r="G18" s="160"/>
      <c r="H18" s="163">
        <f t="shared" si="2"/>
        <v>0</v>
      </c>
      <c r="I18" s="164">
        <f t="shared" si="3"/>
        <v>0</v>
      </c>
      <c r="J18" s="176"/>
      <c r="K18" s="176"/>
      <c r="L18" s="176"/>
      <c r="M18" s="176"/>
    </row>
    <row r="19" spans="1:13" s="169" customFormat="1" ht="18" customHeight="1">
      <c r="A19" s="261"/>
      <c r="B19" s="281"/>
      <c r="C19" s="160"/>
      <c r="D19" s="181"/>
      <c r="E19" s="162"/>
      <c r="F19" s="160"/>
      <c r="G19" s="160"/>
      <c r="H19" s="163">
        <f t="shared" si="2"/>
        <v>0</v>
      </c>
      <c r="I19" s="164">
        <f t="shared" si="3"/>
        <v>0</v>
      </c>
      <c r="J19" s="176"/>
      <c r="K19" s="176"/>
      <c r="L19" s="176"/>
      <c r="M19" s="176"/>
    </row>
    <row r="20" spans="1:9" s="144" customFormat="1" ht="18" customHeight="1">
      <c r="A20" s="261"/>
      <c r="B20" s="281"/>
      <c r="C20" s="160"/>
      <c r="D20" s="161"/>
      <c r="E20" s="162"/>
      <c r="F20" s="64"/>
      <c r="G20" s="64"/>
      <c r="H20" s="163">
        <f t="shared" si="2"/>
        <v>0</v>
      </c>
      <c r="I20" s="164">
        <f t="shared" si="3"/>
        <v>0</v>
      </c>
    </row>
    <row r="21" spans="1:9" s="144" customFormat="1" ht="18" customHeight="1">
      <c r="A21" s="261"/>
      <c r="B21" s="281"/>
      <c r="C21" s="160"/>
      <c r="D21" s="161"/>
      <c r="E21" s="162"/>
      <c r="F21" s="64"/>
      <c r="G21" s="64"/>
      <c r="H21" s="163">
        <f t="shared" si="2"/>
        <v>0</v>
      </c>
      <c r="I21" s="164">
        <f t="shared" si="3"/>
        <v>0</v>
      </c>
    </row>
    <row r="22" spans="1:9" s="144" customFormat="1" ht="18" customHeight="1">
      <c r="A22" s="261"/>
      <c r="B22" s="281"/>
      <c r="C22" s="160"/>
      <c r="D22" s="161"/>
      <c r="E22" s="162"/>
      <c r="F22" s="64"/>
      <c r="G22" s="64"/>
      <c r="H22" s="163">
        <f t="shared" si="2"/>
        <v>0</v>
      </c>
      <c r="I22" s="164">
        <f t="shared" si="3"/>
        <v>0</v>
      </c>
    </row>
    <row r="23" spans="1:9" s="144" customFormat="1" ht="18" customHeight="1">
      <c r="A23" s="261"/>
      <c r="B23" s="281"/>
      <c r="C23" s="160"/>
      <c r="D23" s="161"/>
      <c r="E23" s="177"/>
      <c r="F23" s="64"/>
      <c r="G23" s="64"/>
      <c r="H23" s="163">
        <f t="shared" si="2"/>
        <v>0</v>
      </c>
      <c r="I23" s="164">
        <f t="shared" si="3"/>
        <v>0</v>
      </c>
    </row>
    <row r="24" spans="1:9" s="144" customFormat="1" ht="18" customHeight="1">
      <c r="A24" s="261"/>
      <c r="B24" s="281"/>
      <c r="C24" s="160"/>
      <c r="D24" s="181"/>
      <c r="E24" s="162"/>
      <c r="F24" s="64"/>
      <c r="G24" s="64"/>
      <c r="H24" s="163">
        <f t="shared" si="2"/>
        <v>0</v>
      </c>
      <c r="I24" s="164">
        <f t="shared" si="3"/>
        <v>0</v>
      </c>
    </row>
    <row r="25" spans="1:9" s="144" customFormat="1" ht="18" customHeight="1">
      <c r="A25" s="261"/>
      <c r="B25" s="281"/>
      <c r="C25" s="64"/>
      <c r="D25" s="181"/>
      <c r="E25" s="162"/>
      <c r="F25" s="64"/>
      <c r="G25" s="64"/>
      <c r="H25" s="163">
        <f t="shared" si="2"/>
        <v>0</v>
      </c>
      <c r="I25" s="164">
        <f t="shared" si="3"/>
        <v>0</v>
      </c>
    </row>
    <row r="26" spans="1:9" s="144" customFormat="1" ht="18" customHeight="1">
      <c r="A26" s="261"/>
      <c r="B26" s="281"/>
      <c r="C26" s="160"/>
      <c r="D26" s="181"/>
      <c r="E26" s="162"/>
      <c r="F26" s="160"/>
      <c r="G26" s="160"/>
      <c r="H26" s="163">
        <f t="shared" si="2"/>
        <v>0</v>
      </c>
      <c r="I26" s="164">
        <f t="shared" si="3"/>
        <v>0</v>
      </c>
    </row>
    <row r="27" spans="1:9" s="144" customFormat="1" ht="18" customHeight="1">
      <c r="A27" s="261"/>
      <c r="B27" s="281"/>
      <c r="C27" s="160"/>
      <c r="D27" s="181"/>
      <c r="E27" s="177"/>
      <c r="F27" s="160"/>
      <c r="G27" s="160"/>
      <c r="H27" s="163">
        <f t="shared" si="2"/>
        <v>0</v>
      </c>
      <c r="I27" s="164">
        <f t="shared" si="3"/>
        <v>0</v>
      </c>
    </row>
    <row r="28" spans="1:9" ht="24" customHeight="1">
      <c r="A28" s="1"/>
      <c r="B28" s="3"/>
      <c r="C28" s="196"/>
      <c r="D28" s="197">
        <f>SUM(D4:D27)</f>
        <v>488</v>
      </c>
      <c r="E28" s="196"/>
      <c r="F28" s="3"/>
      <c r="G28" s="198">
        <f>SUM(G4:G27)</f>
        <v>39</v>
      </c>
      <c r="H28" s="198">
        <f>SUM(H4:H27)</f>
        <v>7060000</v>
      </c>
      <c r="I28" s="19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8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workbookViewId="0" topLeftCell="A1">
      <selection activeCell="A1" sqref="A1:N28"/>
    </sheetView>
  </sheetViews>
  <sheetFormatPr defaultColWidth="9.140625" defaultRowHeight="12.75"/>
  <cols>
    <col min="1" max="1" width="25.140625" style="141" customWidth="1"/>
    <col min="2" max="2" width="7.8515625" style="142" customWidth="1"/>
    <col min="3" max="3" width="8.421875" style="143" customWidth="1"/>
    <col min="4" max="4" width="6.8515625" style="142" customWidth="1"/>
    <col min="5" max="5" width="8.140625" style="142" customWidth="1"/>
    <col min="6" max="6" width="10.140625" style="142" customWidth="1"/>
    <col min="7" max="7" width="9.140625" style="142" customWidth="1"/>
    <col min="8" max="8" width="13.421875" style="142" customWidth="1"/>
    <col min="9" max="9" width="4.8515625" style="11" customWidth="1"/>
    <col min="10" max="10" width="8.421875" style="11" customWidth="1"/>
    <col min="11" max="11" width="7.00390625" style="11" customWidth="1"/>
    <col min="12" max="12" width="7.8515625" style="11" customWidth="1"/>
    <col min="13" max="13" width="7.421875" style="11" customWidth="1"/>
    <col min="14" max="14" width="12.421875" style="11" customWidth="1"/>
    <col min="15" max="15" width="7.421875" style="11" customWidth="1"/>
    <col min="16" max="16384" width="9.140625" style="11" customWidth="1"/>
  </cols>
  <sheetData>
    <row r="1" spans="2:14" s="144" customFormat="1" ht="43.5" customHeight="1">
      <c r="B1" s="419" t="s">
        <v>137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2:14" s="144" customFormat="1" ht="29.25" customHeight="1">
      <c r="B2" s="425" t="s">
        <v>251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4" s="158" customFormat="1" ht="27" customHeight="1">
      <c r="A3" s="147" t="s">
        <v>88</v>
      </c>
      <c r="B3" s="148" t="s">
        <v>89</v>
      </c>
      <c r="C3" s="148" t="s">
        <v>90</v>
      </c>
      <c r="D3" s="148" t="s">
        <v>91</v>
      </c>
      <c r="E3" s="148" t="s">
        <v>92</v>
      </c>
      <c r="F3" s="149" t="s">
        <v>93</v>
      </c>
      <c r="G3" s="150" t="s">
        <v>94</v>
      </c>
      <c r="H3" s="151" t="s">
        <v>95</v>
      </c>
      <c r="I3" s="152"/>
      <c r="J3" s="153" t="s">
        <v>93</v>
      </c>
      <c r="K3" s="154"/>
      <c r="L3" s="155"/>
      <c r="M3" s="156" t="s">
        <v>94</v>
      </c>
      <c r="N3" s="157" t="s">
        <v>96</v>
      </c>
    </row>
    <row r="4" spans="1:14" s="169" customFormat="1" ht="18" customHeight="1">
      <c r="A4" s="278" t="s">
        <v>30</v>
      </c>
      <c r="B4" s="279">
        <v>11.1</v>
      </c>
      <c r="C4" s="161">
        <v>73</v>
      </c>
      <c r="D4" s="161">
        <v>28</v>
      </c>
      <c r="E4" s="162"/>
      <c r="F4" s="160">
        <v>1</v>
      </c>
      <c r="G4" s="160">
        <v>10</v>
      </c>
      <c r="H4" s="163">
        <f>N4+I4</f>
        <v>2050000</v>
      </c>
      <c r="I4" s="164">
        <f>IF(E4&gt;0,$N$13,0)+IF(C4&gt;0,50000,0)+IF(C12&lt;0,50000,0)</f>
        <v>50000</v>
      </c>
      <c r="J4" s="165" t="s">
        <v>97</v>
      </c>
      <c r="K4" s="166"/>
      <c r="L4" s="167"/>
      <c r="M4" s="168">
        <v>10</v>
      </c>
      <c r="N4" s="163">
        <f>N12*25%</f>
        <v>2000000</v>
      </c>
    </row>
    <row r="5" spans="1:14" s="169" customFormat="1" ht="18" customHeight="1">
      <c r="A5" s="261" t="s">
        <v>20</v>
      </c>
      <c r="B5" s="281">
        <v>14.8</v>
      </c>
      <c r="C5" s="161">
        <v>73</v>
      </c>
      <c r="D5" s="161">
        <v>33</v>
      </c>
      <c r="E5" s="162"/>
      <c r="F5" s="160">
        <v>2</v>
      </c>
      <c r="G5" s="160">
        <v>8</v>
      </c>
      <c r="H5" s="163">
        <f aca="true" t="shared" si="0" ref="H5:H11">N5+I5</f>
        <v>1650000</v>
      </c>
      <c r="I5" s="164">
        <f aca="true" t="shared" si="1" ref="I5:I11">IF(E5&gt;0,$N$13,0)+IF(C5&gt;0,50000,0)+IF(C13&lt;0,50000,0)</f>
        <v>50000</v>
      </c>
      <c r="J5" s="170" t="s">
        <v>98</v>
      </c>
      <c r="K5" s="171"/>
      <c r="L5" s="172"/>
      <c r="M5" s="173">
        <v>8</v>
      </c>
      <c r="N5" s="163">
        <f>N12*20%</f>
        <v>1600000</v>
      </c>
    </row>
    <row r="6" spans="1:14" s="169" customFormat="1" ht="18" customHeight="1">
      <c r="A6" s="261" t="s">
        <v>40</v>
      </c>
      <c r="B6" s="281">
        <v>15.5</v>
      </c>
      <c r="C6" s="160">
        <v>75</v>
      </c>
      <c r="D6" s="181">
        <v>31</v>
      </c>
      <c r="E6" s="162"/>
      <c r="F6" s="64">
        <v>3</v>
      </c>
      <c r="G6" s="64">
        <v>6</v>
      </c>
      <c r="H6" s="163">
        <f t="shared" si="0"/>
        <v>1250000</v>
      </c>
      <c r="I6" s="164">
        <f t="shared" si="1"/>
        <v>50000</v>
      </c>
      <c r="J6" s="170" t="s">
        <v>99</v>
      </c>
      <c r="K6" s="171"/>
      <c r="L6" s="172"/>
      <c r="M6" s="173">
        <v>6</v>
      </c>
      <c r="N6" s="163">
        <f>N12*15%</f>
        <v>1200000</v>
      </c>
    </row>
    <row r="7" spans="1:18" s="169" customFormat="1" ht="18" customHeight="1">
      <c r="A7" s="261" t="s">
        <v>10</v>
      </c>
      <c r="B7" s="281">
        <v>22.5</v>
      </c>
      <c r="C7" s="160">
        <v>75</v>
      </c>
      <c r="D7" s="161">
        <v>35</v>
      </c>
      <c r="E7" s="177"/>
      <c r="F7" s="160">
        <v>4</v>
      </c>
      <c r="G7" s="160">
        <v>5</v>
      </c>
      <c r="H7" s="163">
        <f t="shared" si="0"/>
        <v>1010000</v>
      </c>
      <c r="I7" s="164">
        <f t="shared" si="1"/>
        <v>50000</v>
      </c>
      <c r="J7" s="170" t="s">
        <v>100</v>
      </c>
      <c r="K7" s="171"/>
      <c r="L7" s="172"/>
      <c r="M7" s="173">
        <v>5</v>
      </c>
      <c r="N7" s="163">
        <f>N12*12%</f>
        <v>960000</v>
      </c>
      <c r="O7" s="175"/>
      <c r="P7" s="175"/>
      <c r="Q7" s="175"/>
      <c r="R7" s="176"/>
    </row>
    <row r="8" spans="1:14" s="169" customFormat="1" ht="18" customHeight="1">
      <c r="A8" s="261" t="s">
        <v>32</v>
      </c>
      <c r="B8" s="281">
        <v>13.5</v>
      </c>
      <c r="C8" s="161">
        <v>76</v>
      </c>
      <c r="D8" s="181">
        <v>28</v>
      </c>
      <c r="E8" s="162"/>
      <c r="F8" s="160">
        <v>5</v>
      </c>
      <c r="G8" s="160">
        <v>4</v>
      </c>
      <c r="H8" s="163">
        <f t="shared" si="0"/>
        <v>850000</v>
      </c>
      <c r="I8" s="164">
        <f t="shared" si="1"/>
        <v>50000</v>
      </c>
      <c r="J8" s="170" t="s">
        <v>101</v>
      </c>
      <c r="K8" s="171"/>
      <c r="L8" s="172"/>
      <c r="M8" s="173">
        <v>4</v>
      </c>
      <c r="N8" s="163">
        <f>N12*10%</f>
        <v>800000</v>
      </c>
    </row>
    <row r="9" spans="1:14" s="169" customFormat="1" ht="18" customHeight="1">
      <c r="A9" s="261" t="s">
        <v>46</v>
      </c>
      <c r="B9" s="281">
        <v>14.6</v>
      </c>
      <c r="C9" s="160">
        <v>77</v>
      </c>
      <c r="D9" s="161">
        <v>36</v>
      </c>
      <c r="E9" s="162"/>
      <c r="F9" s="178">
        <v>6</v>
      </c>
      <c r="G9" s="178">
        <v>3</v>
      </c>
      <c r="H9" s="163">
        <f t="shared" si="0"/>
        <v>690000</v>
      </c>
      <c r="I9" s="164">
        <f t="shared" si="1"/>
        <v>50000</v>
      </c>
      <c r="J9" s="170" t="s">
        <v>102</v>
      </c>
      <c r="K9" s="171"/>
      <c r="L9" s="172"/>
      <c r="M9" s="173">
        <v>3</v>
      </c>
      <c r="N9" s="163">
        <f>N12*8%</f>
        <v>640000</v>
      </c>
    </row>
    <row r="10" spans="1:14" s="169" customFormat="1" ht="18" customHeight="1">
      <c r="A10" s="261" t="s">
        <v>34</v>
      </c>
      <c r="B10" s="281">
        <v>14.1</v>
      </c>
      <c r="C10" s="160">
        <v>78</v>
      </c>
      <c r="D10" s="161">
        <v>31</v>
      </c>
      <c r="E10" s="177"/>
      <c r="F10" s="160">
        <v>7</v>
      </c>
      <c r="G10" s="160">
        <v>2</v>
      </c>
      <c r="H10" s="163">
        <f t="shared" si="0"/>
        <v>530000</v>
      </c>
      <c r="I10" s="164">
        <f t="shared" si="1"/>
        <v>50000</v>
      </c>
      <c r="J10" s="170" t="s">
        <v>103</v>
      </c>
      <c r="K10" s="171"/>
      <c r="L10" s="172"/>
      <c r="M10" s="173">
        <v>2</v>
      </c>
      <c r="N10" s="163">
        <f>N12*6%</f>
        <v>480000</v>
      </c>
    </row>
    <row r="11" spans="1:14" s="169" customFormat="1" ht="18" customHeight="1">
      <c r="A11" s="261" t="s">
        <v>36</v>
      </c>
      <c r="B11" s="281">
        <v>15.2</v>
      </c>
      <c r="C11" s="160">
        <v>78</v>
      </c>
      <c r="D11" s="161">
        <v>26</v>
      </c>
      <c r="E11" s="162"/>
      <c r="F11" s="160">
        <v>8</v>
      </c>
      <c r="G11" s="160">
        <v>1</v>
      </c>
      <c r="H11" s="163">
        <f t="shared" si="0"/>
        <v>370000</v>
      </c>
      <c r="I11" s="164">
        <f t="shared" si="1"/>
        <v>50000</v>
      </c>
      <c r="J11" s="170" t="s">
        <v>104</v>
      </c>
      <c r="K11" s="171"/>
      <c r="L11" s="172"/>
      <c r="M11" s="173">
        <v>1</v>
      </c>
      <c r="N11" s="163">
        <f>N12*4%</f>
        <v>320000</v>
      </c>
    </row>
    <row r="12" spans="1:14" s="169" customFormat="1" ht="18" customHeight="1">
      <c r="A12" s="261" t="s">
        <v>14</v>
      </c>
      <c r="B12" s="281">
        <v>18</v>
      </c>
      <c r="C12" s="161">
        <v>79</v>
      </c>
      <c r="D12" s="161">
        <v>36</v>
      </c>
      <c r="E12" s="177"/>
      <c r="F12" s="160"/>
      <c r="G12" s="160"/>
      <c r="H12" s="163">
        <f>I12</f>
        <v>50000</v>
      </c>
      <c r="I12" s="164">
        <f>IF(E12&gt;0,$N$13,0)+IF(C12&gt;0,50000,0)+IF(C12&lt;0,50000,0)</f>
        <v>50000</v>
      </c>
      <c r="J12" s="179" t="s">
        <v>105</v>
      </c>
      <c r="K12" s="171"/>
      <c r="L12" s="172"/>
      <c r="M12" s="173"/>
      <c r="N12" s="180">
        <v>8000000</v>
      </c>
    </row>
    <row r="13" spans="1:14" s="169" customFormat="1" ht="18" customHeight="1">
      <c r="A13" s="261" t="s">
        <v>28</v>
      </c>
      <c r="B13" s="281">
        <v>18</v>
      </c>
      <c r="C13" s="161">
        <v>81</v>
      </c>
      <c r="D13" s="181">
        <v>30</v>
      </c>
      <c r="E13" s="177"/>
      <c r="F13" s="160"/>
      <c r="G13" s="160"/>
      <c r="H13" s="163">
        <f aca="true" t="shared" si="2" ref="H13:H27">I13</f>
        <v>50000</v>
      </c>
      <c r="I13" s="164">
        <f aca="true" t="shared" si="3" ref="I13:I27">IF(E13&gt;0,$N$13,0)+IF(C13&gt;0,50000,0)+IF(C13&lt;0,50000,0)</f>
        <v>50000</v>
      </c>
      <c r="J13" s="182" t="s">
        <v>106</v>
      </c>
      <c r="K13" s="183"/>
      <c r="L13" s="184"/>
      <c r="M13" s="185">
        <v>1</v>
      </c>
      <c r="N13" s="186">
        <f>N10</f>
        <v>480000</v>
      </c>
    </row>
    <row r="14" spans="1:14" s="169" customFormat="1" ht="18" customHeight="1">
      <c r="A14" s="261" t="s">
        <v>16</v>
      </c>
      <c r="B14" s="281">
        <v>9.1</v>
      </c>
      <c r="C14" s="181">
        <v>82</v>
      </c>
      <c r="D14" s="161">
        <v>33</v>
      </c>
      <c r="E14" s="177">
        <v>3.95</v>
      </c>
      <c r="F14" s="160"/>
      <c r="G14" s="160"/>
      <c r="H14" s="163">
        <f t="shared" si="2"/>
        <v>530000</v>
      </c>
      <c r="I14" s="164">
        <f t="shared" si="3"/>
        <v>530000</v>
      </c>
      <c r="J14" s="187"/>
      <c r="K14" s="183"/>
      <c r="L14" s="183"/>
      <c r="M14" s="188"/>
      <c r="N14" s="189"/>
    </row>
    <row r="15" spans="1:14" s="169" customFormat="1" ht="18" customHeight="1">
      <c r="A15" s="261" t="s">
        <v>42</v>
      </c>
      <c r="B15" s="281">
        <v>24.4</v>
      </c>
      <c r="C15" s="160">
        <v>82</v>
      </c>
      <c r="D15" s="161">
        <v>32</v>
      </c>
      <c r="E15" s="162"/>
      <c r="F15" s="160"/>
      <c r="G15" s="160"/>
      <c r="H15" s="163">
        <f t="shared" si="2"/>
        <v>50000</v>
      </c>
      <c r="I15" s="164">
        <f t="shared" si="3"/>
        <v>50000</v>
      </c>
      <c r="J15" s="190"/>
      <c r="K15" s="191"/>
      <c r="L15" s="191"/>
      <c r="M15" s="192"/>
      <c r="N15" s="193"/>
    </row>
    <row r="16" spans="1:9" s="169" customFormat="1" ht="18" customHeight="1">
      <c r="A16" s="261" t="s">
        <v>44</v>
      </c>
      <c r="B16" s="281">
        <v>16.8</v>
      </c>
      <c r="C16" s="64">
        <v>83</v>
      </c>
      <c r="D16" s="161">
        <v>32</v>
      </c>
      <c r="E16" s="177"/>
      <c r="F16" s="64"/>
      <c r="G16" s="64"/>
      <c r="H16" s="163">
        <f t="shared" si="2"/>
        <v>50000</v>
      </c>
      <c r="I16" s="164">
        <f t="shared" si="3"/>
        <v>50000</v>
      </c>
    </row>
    <row r="17" spans="1:13" s="169" customFormat="1" ht="18" customHeight="1">
      <c r="A17" s="261"/>
      <c r="B17" s="281"/>
      <c r="C17" s="160"/>
      <c r="D17" s="161"/>
      <c r="E17" s="162"/>
      <c r="F17" s="64"/>
      <c r="G17" s="64"/>
      <c r="H17" s="163">
        <f t="shared" si="2"/>
        <v>0</v>
      </c>
      <c r="I17" s="164">
        <f t="shared" si="3"/>
        <v>0</v>
      </c>
      <c r="J17" s="175"/>
      <c r="K17" s="175"/>
      <c r="L17" s="175"/>
      <c r="M17" s="176"/>
    </row>
    <row r="18" spans="1:13" s="169" customFormat="1" ht="18" customHeight="1">
      <c r="A18" s="261"/>
      <c r="B18" s="281"/>
      <c r="C18" s="160"/>
      <c r="D18" s="181"/>
      <c r="E18" s="162"/>
      <c r="F18" s="160"/>
      <c r="G18" s="160"/>
      <c r="H18" s="163">
        <f t="shared" si="2"/>
        <v>0</v>
      </c>
      <c r="I18" s="164">
        <f t="shared" si="3"/>
        <v>0</v>
      </c>
      <c r="J18" s="176"/>
      <c r="K18" s="176"/>
      <c r="L18" s="176"/>
      <c r="M18" s="176"/>
    </row>
    <row r="19" spans="1:13" s="169" customFormat="1" ht="18" customHeight="1">
      <c r="A19" s="261"/>
      <c r="B19" s="281"/>
      <c r="C19" s="160"/>
      <c r="D19" s="161"/>
      <c r="E19" s="162"/>
      <c r="F19" s="160"/>
      <c r="G19" s="160"/>
      <c r="H19" s="163">
        <f t="shared" si="2"/>
        <v>0</v>
      </c>
      <c r="I19" s="164">
        <f t="shared" si="3"/>
        <v>0</v>
      </c>
      <c r="J19" s="176"/>
      <c r="K19" s="176"/>
      <c r="L19" s="176"/>
      <c r="M19" s="176"/>
    </row>
    <row r="20" spans="1:9" s="144" customFormat="1" ht="18" customHeight="1">
      <c r="A20" s="261"/>
      <c r="B20" s="281"/>
      <c r="C20" s="161"/>
      <c r="D20" s="161"/>
      <c r="E20" s="162"/>
      <c r="F20" s="64"/>
      <c r="G20" s="64"/>
      <c r="H20" s="163">
        <f t="shared" si="2"/>
        <v>0</v>
      </c>
      <c r="I20" s="164">
        <f t="shared" si="3"/>
        <v>0</v>
      </c>
    </row>
    <row r="21" spans="1:9" s="144" customFormat="1" ht="18" customHeight="1">
      <c r="A21" s="261"/>
      <c r="B21" s="281"/>
      <c r="C21" s="160"/>
      <c r="D21" s="181"/>
      <c r="E21" s="162"/>
      <c r="F21" s="64"/>
      <c r="G21" s="64"/>
      <c r="H21" s="163">
        <f t="shared" si="2"/>
        <v>0</v>
      </c>
      <c r="I21" s="164">
        <f t="shared" si="3"/>
        <v>0</v>
      </c>
    </row>
    <row r="22" spans="1:9" s="144" customFormat="1" ht="18" customHeight="1">
      <c r="A22" s="65"/>
      <c r="B22" s="66"/>
      <c r="C22" s="160"/>
      <c r="D22" s="161"/>
      <c r="E22" s="162"/>
      <c r="F22" s="64"/>
      <c r="G22" s="64"/>
      <c r="H22" s="163">
        <f t="shared" si="2"/>
        <v>0</v>
      </c>
      <c r="I22" s="164">
        <f t="shared" si="3"/>
        <v>0</v>
      </c>
    </row>
    <row r="23" spans="1:9" s="144" customFormat="1" ht="18" customHeight="1">
      <c r="A23" s="65"/>
      <c r="B23" s="66"/>
      <c r="C23" s="160"/>
      <c r="D23" s="181"/>
      <c r="E23" s="162"/>
      <c r="F23" s="64"/>
      <c r="G23" s="64"/>
      <c r="H23" s="163">
        <f t="shared" si="2"/>
        <v>0</v>
      </c>
      <c r="I23" s="164">
        <f t="shared" si="3"/>
        <v>0</v>
      </c>
    </row>
    <row r="24" spans="1:9" s="144" customFormat="1" ht="18" customHeight="1">
      <c r="A24" s="65"/>
      <c r="B24" s="66"/>
      <c r="C24" s="64"/>
      <c r="D24" s="181"/>
      <c r="E24" s="162"/>
      <c r="F24" s="64"/>
      <c r="G24" s="64"/>
      <c r="H24" s="163">
        <f t="shared" si="2"/>
        <v>0</v>
      </c>
      <c r="I24" s="164">
        <f t="shared" si="3"/>
        <v>0</v>
      </c>
    </row>
    <row r="25" spans="1:9" s="144" customFormat="1" ht="18" customHeight="1">
      <c r="A25" s="65"/>
      <c r="B25" s="66"/>
      <c r="C25" s="160"/>
      <c r="D25" s="161"/>
      <c r="E25" s="177"/>
      <c r="F25" s="64"/>
      <c r="G25" s="64"/>
      <c r="H25" s="163">
        <f t="shared" si="2"/>
        <v>0</v>
      </c>
      <c r="I25" s="164">
        <f t="shared" si="3"/>
        <v>0</v>
      </c>
    </row>
    <row r="26" spans="1:9" s="144" customFormat="1" ht="18" customHeight="1">
      <c r="A26" s="65"/>
      <c r="B26" s="66"/>
      <c r="C26" s="160"/>
      <c r="D26" s="161"/>
      <c r="E26" s="177"/>
      <c r="F26" s="160"/>
      <c r="G26" s="160"/>
      <c r="H26" s="163">
        <f t="shared" si="2"/>
        <v>0</v>
      </c>
      <c r="I26" s="164">
        <f t="shared" si="3"/>
        <v>0</v>
      </c>
    </row>
    <row r="27" spans="1:9" s="144" customFormat="1" ht="18" customHeight="1">
      <c r="A27" s="65"/>
      <c r="B27" s="66"/>
      <c r="C27" s="160"/>
      <c r="D27" s="181"/>
      <c r="E27" s="162"/>
      <c r="F27" s="160"/>
      <c r="G27" s="160"/>
      <c r="H27" s="163">
        <f t="shared" si="2"/>
        <v>0</v>
      </c>
      <c r="I27" s="164">
        <f t="shared" si="3"/>
        <v>0</v>
      </c>
    </row>
    <row r="28" spans="1:9" ht="24" customHeight="1">
      <c r="A28" s="1"/>
      <c r="B28" s="3"/>
      <c r="C28" s="196"/>
      <c r="D28" s="197">
        <f>SUM(D4:D27)</f>
        <v>411</v>
      </c>
      <c r="E28" s="196"/>
      <c r="F28" s="3"/>
      <c r="G28" s="198">
        <f>SUM(G4:G27)</f>
        <v>39</v>
      </c>
      <c r="H28" s="198">
        <f>SUM(H4:H27)</f>
        <v>9130000</v>
      </c>
      <c r="I28" s="19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8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workbookViewId="0" topLeftCell="A1">
      <selection activeCell="A1" sqref="A1:N28"/>
    </sheetView>
  </sheetViews>
  <sheetFormatPr defaultColWidth="9.140625" defaultRowHeight="12.75"/>
  <cols>
    <col min="1" max="1" width="25.140625" style="141" customWidth="1"/>
    <col min="2" max="2" width="7.8515625" style="142" customWidth="1"/>
    <col min="3" max="3" width="8.421875" style="143" customWidth="1"/>
    <col min="4" max="4" width="6.8515625" style="142" customWidth="1"/>
    <col min="5" max="5" width="8.140625" style="142" customWidth="1"/>
    <col min="6" max="6" width="10.140625" style="142" customWidth="1"/>
    <col min="7" max="7" width="9.140625" style="142" customWidth="1"/>
    <col min="8" max="8" width="13.421875" style="142" customWidth="1"/>
    <col min="9" max="9" width="4.8515625" style="11" customWidth="1"/>
    <col min="10" max="10" width="8.421875" style="11" customWidth="1"/>
    <col min="11" max="11" width="7.00390625" style="11" customWidth="1"/>
    <col min="12" max="12" width="7.8515625" style="11" customWidth="1"/>
    <col min="13" max="13" width="7.421875" style="11" customWidth="1"/>
    <col min="14" max="14" width="12.421875" style="11" customWidth="1"/>
    <col min="15" max="15" width="7.421875" style="11" customWidth="1"/>
    <col min="16" max="16384" width="9.140625" style="11" customWidth="1"/>
  </cols>
  <sheetData>
    <row r="1" spans="2:14" s="144" customFormat="1" ht="43.5" customHeight="1">
      <c r="B1" s="419" t="s">
        <v>138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2:14" s="144" customFormat="1" ht="29.25" customHeight="1">
      <c r="B2" s="425" t="s">
        <v>246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4" s="158" customFormat="1" ht="27" customHeight="1">
      <c r="A3" s="147" t="s">
        <v>88</v>
      </c>
      <c r="B3" s="148" t="s">
        <v>89</v>
      </c>
      <c r="C3" s="148" t="s">
        <v>90</v>
      </c>
      <c r="D3" s="148" t="s">
        <v>91</v>
      </c>
      <c r="E3" s="148" t="s">
        <v>92</v>
      </c>
      <c r="F3" s="149" t="s">
        <v>93</v>
      </c>
      <c r="G3" s="150" t="s">
        <v>94</v>
      </c>
      <c r="H3" s="151" t="s">
        <v>95</v>
      </c>
      <c r="I3" s="152"/>
      <c r="J3" s="153" t="s">
        <v>93</v>
      </c>
      <c r="K3" s="154"/>
      <c r="L3" s="155"/>
      <c r="M3" s="156" t="s">
        <v>94</v>
      </c>
      <c r="N3" s="157" t="s">
        <v>96</v>
      </c>
    </row>
    <row r="4" spans="1:14" s="169" customFormat="1" ht="18" customHeight="1">
      <c r="A4" s="261" t="s">
        <v>18</v>
      </c>
      <c r="B4" s="281">
        <v>18.2</v>
      </c>
      <c r="C4" s="160">
        <v>38</v>
      </c>
      <c r="D4" s="181">
        <v>30</v>
      </c>
      <c r="E4" s="64"/>
      <c r="F4" s="160">
        <v>1</v>
      </c>
      <c r="G4" s="160">
        <v>10</v>
      </c>
      <c r="H4" s="163">
        <f>N4+I4</f>
        <v>1550000</v>
      </c>
      <c r="I4" s="164">
        <f>IF(E4&gt;0,$N$13,0)+IF(C4&gt;0,50000,0)+IF(C4&lt;0,50000,0)</f>
        <v>50000</v>
      </c>
      <c r="J4" s="165" t="s">
        <v>97</v>
      </c>
      <c r="K4" s="166"/>
      <c r="L4" s="167"/>
      <c r="M4" s="168">
        <v>10</v>
      </c>
      <c r="N4" s="163">
        <f>N12*25%</f>
        <v>1500000</v>
      </c>
    </row>
    <row r="5" spans="1:14" s="169" customFormat="1" ht="18" customHeight="1">
      <c r="A5" s="261" t="s">
        <v>56</v>
      </c>
      <c r="B5" s="281">
        <v>13.7</v>
      </c>
      <c r="C5" s="161">
        <v>35</v>
      </c>
      <c r="D5" s="161">
        <v>35</v>
      </c>
      <c r="E5" s="162" t="s">
        <v>247</v>
      </c>
      <c r="F5" s="160">
        <v>2</v>
      </c>
      <c r="G5" s="160">
        <v>8</v>
      </c>
      <c r="H5" s="163">
        <f>N5+200000</f>
        <v>1400000</v>
      </c>
      <c r="I5" s="164">
        <f aca="true" t="shared" si="0" ref="I5:I27">IF(E5&gt;0,$N$13,0)+IF(C5&gt;0,50000,0)+IF(C5&lt;0,50000,0)</f>
        <v>410000</v>
      </c>
      <c r="J5" s="170" t="s">
        <v>98</v>
      </c>
      <c r="K5" s="171"/>
      <c r="L5" s="172"/>
      <c r="M5" s="173">
        <v>8</v>
      </c>
      <c r="N5" s="163">
        <f>N12*20%</f>
        <v>1200000</v>
      </c>
    </row>
    <row r="6" spans="1:14" s="169" customFormat="1" ht="18" customHeight="1">
      <c r="A6" s="261" t="s">
        <v>24</v>
      </c>
      <c r="B6" s="281">
        <v>14.9</v>
      </c>
      <c r="C6" s="160">
        <v>35</v>
      </c>
      <c r="D6" s="161">
        <v>33</v>
      </c>
      <c r="E6" s="162"/>
      <c r="F6" s="64">
        <v>3</v>
      </c>
      <c r="G6" s="64">
        <v>6</v>
      </c>
      <c r="H6" s="163">
        <f aca="true" t="shared" si="1" ref="H6:H11">N6+I6</f>
        <v>950000</v>
      </c>
      <c r="I6" s="164">
        <f t="shared" si="0"/>
        <v>50000</v>
      </c>
      <c r="J6" s="170" t="s">
        <v>99</v>
      </c>
      <c r="K6" s="171"/>
      <c r="L6" s="172"/>
      <c r="M6" s="173">
        <v>6</v>
      </c>
      <c r="N6" s="163">
        <f>N12*15%</f>
        <v>900000</v>
      </c>
    </row>
    <row r="7" spans="1:18" s="169" customFormat="1" ht="18" customHeight="1">
      <c r="A7" s="261" t="s">
        <v>34</v>
      </c>
      <c r="B7" s="281">
        <v>14.1</v>
      </c>
      <c r="C7" s="181">
        <v>34</v>
      </c>
      <c r="D7" s="161">
        <v>34</v>
      </c>
      <c r="E7" s="162"/>
      <c r="F7" s="160">
        <v>4</v>
      </c>
      <c r="G7" s="160">
        <v>5</v>
      </c>
      <c r="H7" s="163">
        <f t="shared" si="1"/>
        <v>770000</v>
      </c>
      <c r="I7" s="164">
        <f t="shared" si="0"/>
        <v>50000</v>
      </c>
      <c r="J7" s="170" t="s">
        <v>100</v>
      </c>
      <c r="K7" s="171"/>
      <c r="L7" s="172"/>
      <c r="M7" s="173">
        <v>5</v>
      </c>
      <c r="N7" s="163">
        <f>N12*12%</f>
        <v>720000</v>
      </c>
      <c r="O7" s="175"/>
      <c r="P7" s="175"/>
      <c r="Q7" s="175"/>
      <c r="R7" s="176"/>
    </row>
    <row r="8" spans="1:14" s="169" customFormat="1" ht="18" customHeight="1">
      <c r="A8" s="261" t="s">
        <v>58</v>
      </c>
      <c r="B8" s="281">
        <v>20.6</v>
      </c>
      <c r="C8" s="160">
        <v>33</v>
      </c>
      <c r="D8" s="181">
        <v>40</v>
      </c>
      <c r="E8" s="64">
        <v>11.75</v>
      </c>
      <c r="F8" s="160">
        <v>5</v>
      </c>
      <c r="G8" s="160">
        <v>4</v>
      </c>
      <c r="H8" s="163">
        <f>N8+100000</f>
        <v>700000</v>
      </c>
      <c r="I8" s="164">
        <f t="shared" si="0"/>
        <v>410000</v>
      </c>
      <c r="J8" s="170" t="s">
        <v>101</v>
      </c>
      <c r="K8" s="171"/>
      <c r="L8" s="172"/>
      <c r="M8" s="173">
        <v>4</v>
      </c>
      <c r="N8" s="163">
        <f>N12*10%</f>
        <v>600000</v>
      </c>
    </row>
    <row r="9" spans="1:14" s="169" customFormat="1" ht="18" customHeight="1">
      <c r="A9" s="261" t="s">
        <v>50</v>
      </c>
      <c r="B9" s="281">
        <v>6.7</v>
      </c>
      <c r="C9" s="160">
        <v>32</v>
      </c>
      <c r="D9" s="161">
        <v>29</v>
      </c>
      <c r="E9" s="162"/>
      <c r="F9" s="178">
        <v>6</v>
      </c>
      <c r="G9" s="178">
        <v>3</v>
      </c>
      <c r="H9" s="163">
        <f t="shared" si="1"/>
        <v>530000</v>
      </c>
      <c r="I9" s="164">
        <f t="shared" si="0"/>
        <v>50000</v>
      </c>
      <c r="J9" s="170" t="s">
        <v>102</v>
      </c>
      <c r="K9" s="171"/>
      <c r="L9" s="172"/>
      <c r="M9" s="173">
        <v>3</v>
      </c>
      <c r="N9" s="163">
        <f>N12*8%</f>
        <v>480000</v>
      </c>
    </row>
    <row r="10" spans="1:14" s="169" customFormat="1" ht="18" customHeight="1">
      <c r="A10" s="261" t="s">
        <v>40</v>
      </c>
      <c r="B10" s="281">
        <v>15.5</v>
      </c>
      <c r="C10" s="64">
        <v>32</v>
      </c>
      <c r="D10" s="161">
        <v>34</v>
      </c>
      <c r="E10" s="162">
        <v>1.77</v>
      </c>
      <c r="F10" s="160">
        <v>7</v>
      </c>
      <c r="G10" s="160">
        <v>2</v>
      </c>
      <c r="H10" s="163">
        <f t="shared" si="1"/>
        <v>770000</v>
      </c>
      <c r="I10" s="164">
        <f t="shared" si="0"/>
        <v>410000</v>
      </c>
      <c r="J10" s="170" t="s">
        <v>103</v>
      </c>
      <c r="K10" s="171"/>
      <c r="L10" s="172"/>
      <c r="M10" s="173">
        <v>2</v>
      </c>
      <c r="N10" s="163">
        <f>N12*6%</f>
        <v>360000</v>
      </c>
    </row>
    <row r="11" spans="1:14" s="169" customFormat="1" ht="18" customHeight="1">
      <c r="A11" s="261" t="s">
        <v>30</v>
      </c>
      <c r="B11" s="281">
        <v>11.2</v>
      </c>
      <c r="C11" s="160">
        <v>30</v>
      </c>
      <c r="D11" s="161">
        <v>37</v>
      </c>
      <c r="E11" s="162"/>
      <c r="F11" s="160">
        <v>8</v>
      </c>
      <c r="G11" s="160">
        <v>1</v>
      </c>
      <c r="H11" s="163">
        <f t="shared" si="1"/>
        <v>290000</v>
      </c>
      <c r="I11" s="164">
        <f t="shared" si="0"/>
        <v>50000</v>
      </c>
      <c r="J11" s="170" t="s">
        <v>104</v>
      </c>
      <c r="K11" s="171"/>
      <c r="L11" s="172"/>
      <c r="M11" s="173">
        <v>1</v>
      </c>
      <c r="N11" s="163">
        <f>N12*4%</f>
        <v>240000</v>
      </c>
    </row>
    <row r="12" spans="1:14" s="169" customFormat="1" ht="18" customHeight="1">
      <c r="A12" s="261" t="s">
        <v>32</v>
      </c>
      <c r="B12" s="281">
        <v>13.6</v>
      </c>
      <c r="C12" s="160">
        <v>30</v>
      </c>
      <c r="D12" s="161">
        <v>32</v>
      </c>
      <c r="E12" s="162"/>
      <c r="F12" s="160"/>
      <c r="G12" s="160"/>
      <c r="H12" s="163">
        <f>I12</f>
        <v>50000</v>
      </c>
      <c r="I12" s="164">
        <f t="shared" si="0"/>
        <v>50000</v>
      </c>
      <c r="J12" s="179" t="s">
        <v>105</v>
      </c>
      <c r="K12" s="171"/>
      <c r="L12" s="172"/>
      <c r="M12" s="173"/>
      <c r="N12" s="180">
        <v>6000000</v>
      </c>
    </row>
    <row r="13" spans="1:14" s="169" customFormat="1" ht="18" customHeight="1">
      <c r="A13" s="261" t="s">
        <v>14</v>
      </c>
      <c r="B13" s="281">
        <v>18</v>
      </c>
      <c r="C13" s="161">
        <v>29</v>
      </c>
      <c r="D13" s="161">
        <v>35</v>
      </c>
      <c r="E13" s="162"/>
      <c r="F13" s="160"/>
      <c r="G13" s="160"/>
      <c r="H13" s="163">
        <f aca="true" t="shared" si="2" ref="H13:H27">I13</f>
        <v>50000</v>
      </c>
      <c r="I13" s="164">
        <f t="shared" si="0"/>
        <v>50000</v>
      </c>
      <c r="J13" s="182" t="s">
        <v>106</v>
      </c>
      <c r="K13" s="183"/>
      <c r="L13" s="184"/>
      <c r="M13" s="185">
        <v>1</v>
      </c>
      <c r="N13" s="186">
        <f>N10</f>
        <v>360000</v>
      </c>
    </row>
    <row r="14" spans="1:14" s="169" customFormat="1" ht="18" customHeight="1">
      <c r="A14" s="261" t="s">
        <v>26</v>
      </c>
      <c r="B14" s="281">
        <v>14.4</v>
      </c>
      <c r="C14" s="160">
        <v>27</v>
      </c>
      <c r="D14" s="161">
        <v>35</v>
      </c>
      <c r="E14" s="162"/>
      <c r="F14" s="160"/>
      <c r="G14" s="160"/>
      <c r="H14" s="163">
        <f t="shared" si="2"/>
        <v>50000</v>
      </c>
      <c r="I14" s="164">
        <f t="shared" si="0"/>
        <v>50000</v>
      </c>
      <c r="J14" s="187"/>
      <c r="K14" s="183"/>
      <c r="L14" s="183"/>
      <c r="M14" s="188"/>
      <c r="N14" s="189"/>
    </row>
    <row r="15" spans="1:14" s="169" customFormat="1" ht="18" customHeight="1">
      <c r="A15" s="261" t="s">
        <v>46</v>
      </c>
      <c r="B15" s="281">
        <v>14.6</v>
      </c>
      <c r="C15" s="64">
        <v>27</v>
      </c>
      <c r="D15" s="181">
        <v>39</v>
      </c>
      <c r="E15" s="64"/>
      <c r="F15" s="160"/>
      <c r="G15" s="160"/>
      <c r="H15" s="163">
        <f t="shared" si="2"/>
        <v>50000</v>
      </c>
      <c r="I15" s="164">
        <f t="shared" si="0"/>
        <v>50000</v>
      </c>
      <c r="J15" s="190"/>
      <c r="K15" s="191"/>
      <c r="L15" s="191"/>
      <c r="M15" s="192"/>
      <c r="N15" s="193"/>
    </row>
    <row r="16" spans="1:9" s="169" customFormat="1" ht="18" customHeight="1">
      <c r="A16" s="261" t="s">
        <v>20</v>
      </c>
      <c r="B16" s="281">
        <v>15</v>
      </c>
      <c r="C16" s="160">
        <v>27</v>
      </c>
      <c r="D16" s="181">
        <v>36</v>
      </c>
      <c r="E16" s="64"/>
      <c r="F16" s="64"/>
      <c r="G16" s="64"/>
      <c r="H16" s="163">
        <f t="shared" si="2"/>
        <v>50000</v>
      </c>
      <c r="I16" s="164">
        <f t="shared" si="0"/>
        <v>50000</v>
      </c>
    </row>
    <row r="17" spans="1:18" s="169" customFormat="1" ht="18" customHeight="1">
      <c r="A17" s="261" t="s">
        <v>36</v>
      </c>
      <c r="B17" s="281">
        <v>15.3</v>
      </c>
      <c r="C17" s="160">
        <v>26</v>
      </c>
      <c r="D17" s="161">
        <v>37</v>
      </c>
      <c r="E17" s="162"/>
      <c r="F17" s="64"/>
      <c r="G17" s="64"/>
      <c r="H17" s="163">
        <f t="shared" si="2"/>
        <v>50000</v>
      </c>
      <c r="I17" s="164">
        <f t="shared" si="0"/>
        <v>50000</v>
      </c>
      <c r="O17" s="175"/>
      <c r="P17" s="175"/>
      <c r="Q17" s="175"/>
      <c r="R17" s="176"/>
    </row>
    <row r="18" spans="1:13" s="169" customFormat="1" ht="18" customHeight="1">
      <c r="A18" s="261" t="s">
        <v>28</v>
      </c>
      <c r="B18" s="281">
        <v>18.1</v>
      </c>
      <c r="C18" s="161">
        <v>26</v>
      </c>
      <c r="D18" s="181">
        <v>35</v>
      </c>
      <c r="E18" s="64"/>
      <c r="F18" s="160"/>
      <c r="G18" s="160"/>
      <c r="H18" s="163">
        <f t="shared" si="2"/>
        <v>50000</v>
      </c>
      <c r="I18" s="164">
        <f t="shared" si="0"/>
        <v>50000</v>
      </c>
      <c r="J18" s="176"/>
      <c r="K18" s="176"/>
      <c r="L18" s="176"/>
      <c r="M18" s="176"/>
    </row>
    <row r="19" spans="1:13" s="169" customFormat="1" ht="18" customHeight="1">
      <c r="A19" s="261" t="s">
        <v>44</v>
      </c>
      <c r="B19" s="281">
        <v>17</v>
      </c>
      <c r="C19" s="160">
        <v>25</v>
      </c>
      <c r="D19" s="181">
        <v>33</v>
      </c>
      <c r="E19" s="64"/>
      <c r="F19" s="160"/>
      <c r="G19" s="160"/>
      <c r="H19" s="163">
        <f t="shared" si="2"/>
        <v>50000</v>
      </c>
      <c r="I19" s="164">
        <f t="shared" si="0"/>
        <v>50000</v>
      </c>
      <c r="J19" s="176"/>
      <c r="K19" s="176"/>
      <c r="L19" s="176"/>
      <c r="M19" s="176"/>
    </row>
    <row r="20" spans="1:9" s="144" customFormat="1" ht="18" customHeight="1">
      <c r="A20" s="261" t="s">
        <v>42</v>
      </c>
      <c r="B20" s="281">
        <v>24.4</v>
      </c>
      <c r="C20" s="160">
        <v>23</v>
      </c>
      <c r="D20" s="161">
        <v>36</v>
      </c>
      <c r="E20" s="162"/>
      <c r="F20" s="64"/>
      <c r="G20" s="64"/>
      <c r="H20" s="163">
        <f t="shared" si="2"/>
        <v>50000</v>
      </c>
      <c r="I20" s="164">
        <f t="shared" si="0"/>
        <v>50000</v>
      </c>
    </row>
    <row r="21" spans="1:9" s="144" customFormat="1" ht="18" customHeight="1">
      <c r="A21" s="261"/>
      <c r="B21" s="281"/>
      <c r="C21" s="160"/>
      <c r="D21" s="161"/>
      <c r="E21" s="181"/>
      <c r="F21" s="64"/>
      <c r="G21" s="64"/>
      <c r="H21" s="163">
        <f t="shared" si="2"/>
        <v>0</v>
      </c>
      <c r="I21" s="164">
        <f t="shared" si="0"/>
        <v>0</v>
      </c>
    </row>
    <row r="22" spans="1:9" s="144" customFormat="1" ht="18" customHeight="1">
      <c r="A22" s="261"/>
      <c r="B22" s="281"/>
      <c r="C22" s="160"/>
      <c r="D22" s="181"/>
      <c r="E22" s="64"/>
      <c r="F22" s="64"/>
      <c r="G22" s="64"/>
      <c r="H22" s="163">
        <f t="shared" si="2"/>
        <v>0</v>
      </c>
      <c r="I22" s="164">
        <f t="shared" si="0"/>
        <v>0</v>
      </c>
    </row>
    <row r="23" spans="1:9" s="144" customFormat="1" ht="18" customHeight="1">
      <c r="A23" s="261"/>
      <c r="B23" s="281"/>
      <c r="C23" s="161"/>
      <c r="D23" s="161"/>
      <c r="E23" s="162"/>
      <c r="F23" s="64"/>
      <c r="G23" s="64"/>
      <c r="H23" s="163">
        <f t="shared" si="2"/>
        <v>0</v>
      </c>
      <c r="I23" s="164">
        <f t="shared" si="0"/>
        <v>0</v>
      </c>
    </row>
    <row r="24" spans="1:9" s="144" customFormat="1" ht="18" customHeight="1">
      <c r="A24" s="261"/>
      <c r="B24" s="281"/>
      <c r="C24" s="161"/>
      <c r="D24" s="161"/>
      <c r="E24" s="162"/>
      <c r="F24" s="64"/>
      <c r="G24" s="64"/>
      <c r="H24" s="163">
        <f t="shared" si="2"/>
        <v>0</v>
      </c>
      <c r="I24" s="164">
        <f t="shared" si="0"/>
        <v>0</v>
      </c>
    </row>
    <row r="25" spans="1:9" s="144" customFormat="1" ht="18" customHeight="1">
      <c r="A25" s="261"/>
      <c r="B25" s="281"/>
      <c r="C25" s="160"/>
      <c r="D25" s="161"/>
      <c r="E25" s="162"/>
      <c r="F25" s="64"/>
      <c r="G25" s="64"/>
      <c r="H25" s="163">
        <f t="shared" si="2"/>
        <v>0</v>
      </c>
      <c r="I25" s="164">
        <f t="shared" si="0"/>
        <v>0</v>
      </c>
    </row>
    <row r="26" spans="1:9" s="144" customFormat="1" ht="18" customHeight="1">
      <c r="A26" s="65"/>
      <c r="B26" s="66"/>
      <c r="C26" s="161"/>
      <c r="D26" s="181"/>
      <c r="E26" s="64"/>
      <c r="F26" s="160"/>
      <c r="G26" s="160"/>
      <c r="H26" s="163">
        <f t="shared" si="2"/>
        <v>0</v>
      </c>
      <c r="I26" s="164">
        <f t="shared" si="0"/>
        <v>0</v>
      </c>
    </row>
    <row r="27" spans="1:9" s="144" customFormat="1" ht="18" customHeight="1">
      <c r="A27" s="65"/>
      <c r="B27" s="66"/>
      <c r="C27" s="160"/>
      <c r="D27" s="161"/>
      <c r="E27" s="162"/>
      <c r="F27" s="160"/>
      <c r="G27" s="160"/>
      <c r="H27" s="163">
        <f t="shared" si="2"/>
        <v>0</v>
      </c>
      <c r="I27" s="164">
        <f t="shared" si="0"/>
        <v>0</v>
      </c>
    </row>
    <row r="28" spans="1:9" ht="24" customHeight="1">
      <c r="A28" s="1"/>
      <c r="B28" s="3"/>
      <c r="C28" s="196"/>
      <c r="D28" s="197">
        <f>SUM(D4:D27)</f>
        <v>590</v>
      </c>
      <c r="E28" s="196"/>
      <c r="F28" s="3"/>
      <c r="G28" s="198">
        <f>SUM(G4:G27)</f>
        <v>39</v>
      </c>
      <c r="H28" s="198">
        <f>SUM(H4:H27)</f>
        <v>7410000</v>
      </c>
      <c r="I28" s="19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8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workbookViewId="0" topLeftCell="A1">
      <selection activeCell="A1" sqref="A1:N28"/>
    </sheetView>
  </sheetViews>
  <sheetFormatPr defaultColWidth="9.140625" defaultRowHeight="12.75"/>
  <cols>
    <col min="1" max="1" width="25.140625" style="141" customWidth="1"/>
    <col min="2" max="2" width="7.8515625" style="142" customWidth="1"/>
    <col min="3" max="3" width="8.421875" style="143" customWidth="1"/>
    <col min="4" max="4" width="6.8515625" style="142" customWidth="1"/>
    <col min="5" max="5" width="8.140625" style="142" customWidth="1"/>
    <col min="6" max="6" width="10.140625" style="142" customWidth="1"/>
    <col min="7" max="7" width="9.140625" style="142" customWidth="1"/>
    <col min="8" max="8" width="13.421875" style="142" customWidth="1"/>
    <col min="9" max="9" width="4.8515625" style="11" customWidth="1"/>
    <col min="10" max="10" width="8.421875" style="11" customWidth="1"/>
    <col min="11" max="11" width="7.00390625" style="11" customWidth="1"/>
    <col min="12" max="12" width="7.8515625" style="11" customWidth="1"/>
    <col min="13" max="13" width="7.421875" style="11" customWidth="1"/>
    <col min="14" max="14" width="12.421875" style="11" customWidth="1"/>
    <col min="15" max="15" width="7.421875" style="11" customWidth="1"/>
    <col min="16" max="16384" width="9.140625" style="11" customWidth="1"/>
  </cols>
  <sheetData>
    <row r="1" spans="2:14" s="144" customFormat="1" ht="43.5" customHeight="1">
      <c r="B1" s="419" t="s">
        <v>139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2:14" s="144" customFormat="1" ht="29.25" customHeight="1">
      <c r="B2" s="425" t="s">
        <v>245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4" s="158" customFormat="1" ht="27" customHeight="1">
      <c r="A3" s="147" t="s">
        <v>88</v>
      </c>
      <c r="B3" s="148" t="s">
        <v>89</v>
      </c>
      <c r="C3" s="148" t="s">
        <v>90</v>
      </c>
      <c r="D3" s="148" t="s">
        <v>91</v>
      </c>
      <c r="E3" s="148" t="s">
        <v>92</v>
      </c>
      <c r="F3" s="149" t="s">
        <v>93</v>
      </c>
      <c r="G3" s="150" t="s">
        <v>94</v>
      </c>
      <c r="H3" s="151" t="s">
        <v>95</v>
      </c>
      <c r="I3" s="152"/>
      <c r="J3" s="153" t="s">
        <v>93</v>
      </c>
      <c r="K3" s="154"/>
      <c r="L3" s="155"/>
      <c r="M3" s="156" t="s">
        <v>94</v>
      </c>
      <c r="N3" s="157" t="s">
        <v>96</v>
      </c>
    </row>
    <row r="4" spans="1:14" s="169" customFormat="1" ht="18" customHeight="1">
      <c r="A4" s="278" t="s">
        <v>46</v>
      </c>
      <c r="B4" s="279">
        <v>14.6</v>
      </c>
      <c r="C4" s="160">
        <v>37</v>
      </c>
      <c r="D4" s="161">
        <v>27</v>
      </c>
      <c r="E4" s="181">
        <v>3.56</v>
      </c>
      <c r="F4" s="160">
        <v>1</v>
      </c>
      <c r="G4" s="160">
        <v>10</v>
      </c>
      <c r="H4" s="163">
        <f>N4+I4</f>
        <v>1910000</v>
      </c>
      <c r="I4" s="164">
        <f>IF(E4&gt;0,$N$13,0)+IF(C4&gt;0,50000,0)+IF(C4&lt;0,50000,0)</f>
        <v>410000</v>
      </c>
      <c r="J4" s="165" t="s">
        <v>97</v>
      </c>
      <c r="K4" s="166"/>
      <c r="L4" s="167"/>
      <c r="M4" s="168">
        <v>10</v>
      </c>
      <c r="N4" s="163">
        <f>N12*25%</f>
        <v>1500000</v>
      </c>
    </row>
    <row r="5" spans="1:14" s="169" customFormat="1" ht="18" customHeight="1">
      <c r="A5" s="261" t="s">
        <v>32</v>
      </c>
      <c r="B5" s="281">
        <v>13.5</v>
      </c>
      <c r="C5" s="160">
        <v>35</v>
      </c>
      <c r="D5" s="161">
        <v>30</v>
      </c>
      <c r="E5" s="162"/>
      <c r="F5" s="160">
        <v>2</v>
      </c>
      <c r="G5" s="160">
        <v>8</v>
      </c>
      <c r="H5" s="163">
        <f aca="true" t="shared" si="0" ref="H5:H11">N5+I5</f>
        <v>1250000</v>
      </c>
      <c r="I5" s="164">
        <f aca="true" t="shared" si="1" ref="I5:I27">IF(E5&gt;0,$N$13,0)+IF(C5&gt;0,50000,0)+IF(C5&lt;0,50000,0)</f>
        <v>50000</v>
      </c>
      <c r="J5" s="170" t="s">
        <v>98</v>
      </c>
      <c r="K5" s="171"/>
      <c r="L5" s="172"/>
      <c r="M5" s="173">
        <v>8</v>
      </c>
      <c r="N5" s="163">
        <f>N12*20%</f>
        <v>1200000</v>
      </c>
    </row>
    <row r="6" spans="1:14" s="169" customFormat="1" ht="18" customHeight="1">
      <c r="A6" s="261" t="s">
        <v>40</v>
      </c>
      <c r="B6" s="281">
        <v>15.5</v>
      </c>
      <c r="C6" s="64">
        <v>35</v>
      </c>
      <c r="D6" s="161">
        <v>34</v>
      </c>
      <c r="E6" s="162"/>
      <c r="F6" s="64">
        <v>3</v>
      </c>
      <c r="G6" s="64">
        <v>6</v>
      </c>
      <c r="H6" s="163">
        <f t="shared" si="0"/>
        <v>950000</v>
      </c>
      <c r="I6" s="164">
        <f t="shared" si="1"/>
        <v>50000</v>
      </c>
      <c r="J6" s="170" t="s">
        <v>99</v>
      </c>
      <c r="K6" s="171"/>
      <c r="L6" s="172"/>
      <c r="M6" s="173">
        <v>6</v>
      </c>
      <c r="N6" s="163">
        <f>N12*15%</f>
        <v>900000</v>
      </c>
    </row>
    <row r="7" spans="1:18" s="169" customFormat="1" ht="18" customHeight="1">
      <c r="A7" s="261" t="s">
        <v>48</v>
      </c>
      <c r="B7" s="281">
        <v>21.4</v>
      </c>
      <c r="C7" s="160">
        <v>34</v>
      </c>
      <c r="D7" s="161">
        <v>33</v>
      </c>
      <c r="E7" s="162"/>
      <c r="F7" s="160">
        <v>4</v>
      </c>
      <c r="G7" s="160">
        <v>5</v>
      </c>
      <c r="H7" s="163">
        <f t="shared" si="0"/>
        <v>770000</v>
      </c>
      <c r="I7" s="164">
        <f t="shared" si="1"/>
        <v>50000</v>
      </c>
      <c r="J7" s="170" t="s">
        <v>100</v>
      </c>
      <c r="K7" s="171"/>
      <c r="L7" s="172"/>
      <c r="M7" s="173">
        <v>5</v>
      </c>
      <c r="N7" s="163">
        <f>N12*12%</f>
        <v>720000</v>
      </c>
      <c r="O7" s="175"/>
      <c r="P7" s="175"/>
      <c r="Q7" s="175"/>
      <c r="R7" s="176"/>
    </row>
    <row r="8" spans="1:14" s="169" customFormat="1" ht="18" customHeight="1">
      <c r="A8" s="261" t="s">
        <v>30</v>
      </c>
      <c r="B8" s="281">
        <v>11.1</v>
      </c>
      <c r="C8" s="160">
        <v>32</v>
      </c>
      <c r="D8" s="161">
        <v>30</v>
      </c>
      <c r="E8" s="162"/>
      <c r="F8" s="160">
        <v>5</v>
      </c>
      <c r="G8" s="160">
        <v>4</v>
      </c>
      <c r="H8" s="163">
        <f t="shared" si="0"/>
        <v>650000</v>
      </c>
      <c r="I8" s="164">
        <f t="shared" si="1"/>
        <v>50000</v>
      </c>
      <c r="J8" s="170" t="s">
        <v>101</v>
      </c>
      <c r="K8" s="171"/>
      <c r="L8" s="172"/>
      <c r="M8" s="173">
        <v>4</v>
      </c>
      <c r="N8" s="163">
        <f>N12*10%</f>
        <v>600000</v>
      </c>
    </row>
    <row r="9" spans="1:14" s="169" customFormat="1" ht="18" customHeight="1">
      <c r="A9" s="261" t="s">
        <v>26</v>
      </c>
      <c r="B9" s="281">
        <v>14.4</v>
      </c>
      <c r="C9" s="181">
        <v>31</v>
      </c>
      <c r="D9" s="161">
        <v>33</v>
      </c>
      <c r="E9" s="162"/>
      <c r="F9" s="178">
        <v>6</v>
      </c>
      <c r="G9" s="178">
        <v>3</v>
      </c>
      <c r="H9" s="163">
        <f t="shared" si="0"/>
        <v>530000</v>
      </c>
      <c r="I9" s="164">
        <f t="shared" si="1"/>
        <v>50000</v>
      </c>
      <c r="J9" s="170" t="s">
        <v>102</v>
      </c>
      <c r="K9" s="171"/>
      <c r="L9" s="172"/>
      <c r="M9" s="173">
        <v>3</v>
      </c>
      <c r="N9" s="163">
        <f>N12*8%</f>
        <v>480000</v>
      </c>
    </row>
    <row r="10" spans="1:14" s="169" customFormat="1" ht="18" customHeight="1">
      <c r="A10" s="261" t="s">
        <v>38</v>
      </c>
      <c r="B10" s="281">
        <v>21.6</v>
      </c>
      <c r="C10" s="160">
        <v>31</v>
      </c>
      <c r="D10" s="181">
        <v>32</v>
      </c>
      <c r="E10" s="64"/>
      <c r="F10" s="160">
        <v>7</v>
      </c>
      <c r="G10" s="160">
        <v>2</v>
      </c>
      <c r="H10" s="163">
        <f t="shared" si="0"/>
        <v>410000</v>
      </c>
      <c r="I10" s="164">
        <f t="shared" si="1"/>
        <v>50000</v>
      </c>
      <c r="J10" s="170" t="s">
        <v>103</v>
      </c>
      <c r="K10" s="171"/>
      <c r="L10" s="172"/>
      <c r="M10" s="173">
        <v>2</v>
      </c>
      <c r="N10" s="163">
        <f>N12*6%</f>
        <v>360000</v>
      </c>
    </row>
    <row r="11" spans="1:14" s="169" customFormat="1" ht="18" customHeight="1">
      <c r="A11" s="261" t="s">
        <v>12</v>
      </c>
      <c r="B11" s="281">
        <v>11.9</v>
      </c>
      <c r="C11" s="161">
        <v>30</v>
      </c>
      <c r="D11" s="181">
        <v>29</v>
      </c>
      <c r="E11" s="64"/>
      <c r="F11" s="160">
        <v>8</v>
      </c>
      <c r="G11" s="160">
        <v>1</v>
      </c>
      <c r="H11" s="163">
        <f t="shared" si="0"/>
        <v>290000</v>
      </c>
      <c r="I11" s="164">
        <f t="shared" si="1"/>
        <v>50000</v>
      </c>
      <c r="J11" s="170" t="s">
        <v>104</v>
      </c>
      <c r="K11" s="171"/>
      <c r="L11" s="172"/>
      <c r="M11" s="173">
        <v>1</v>
      </c>
      <c r="N11" s="163">
        <f>N12*4%</f>
        <v>240000</v>
      </c>
    </row>
    <row r="12" spans="1:14" s="169" customFormat="1" ht="18" customHeight="1">
      <c r="A12" s="261" t="s">
        <v>44</v>
      </c>
      <c r="B12" s="281">
        <v>16.8</v>
      </c>
      <c r="C12" s="161">
        <v>30</v>
      </c>
      <c r="D12" s="161">
        <v>36</v>
      </c>
      <c r="E12" s="162"/>
      <c r="F12" s="160"/>
      <c r="G12" s="160"/>
      <c r="H12" s="163">
        <f>I12</f>
        <v>50000</v>
      </c>
      <c r="I12" s="164">
        <f t="shared" si="1"/>
        <v>50000</v>
      </c>
      <c r="J12" s="179" t="s">
        <v>105</v>
      </c>
      <c r="K12" s="171"/>
      <c r="L12" s="172"/>
      <c r="M12" s="173"/>
      <c r="N12" s="180">
        <v>6000000</v>
      </c>
    </row>
    <row r="13" spans="1:14" s="169" customFormat="1" ht="18" customHeight="1">
      <c r="A13" s="261" t="s">
        <v>16</v>
      </c>
      <c r="B13" s="281">
        <v>9.1</v>
      </c>
      <c r="C13" s="161">
        <v>29</v>
      </c>
      <c r="D13" s="161">
        <v>36</v>
      </c>
      <c r="E13" s="162"/>
      <c r="F13" s="160"/>
      <c r="G13" s="160"/>
      <c r="H13" s="163">
        <f aca="true" t="shared" si="2" ref="H13:H27">I13</f>
        <v>50000</v>
      </c>
      <c r="I13" s="164">
        <f t="shared" si="1"/>
        <v>50000</v>
      </c>
      <c r="J13" s="182" t="s">
        <v>106</v>
      </c>
      <c r="K13" s="183"/>
      <c r="L13" s="184"/>
      <c r="M13" s="185">
        <v>1</v>
      </c>
      <c r="N13" s="186">
        <f>N10</f>
        <v>360000</v>
      </c>
    </row>
    <row r="14" spans="1:14" s="169" customFormat="1" ht="18" customHeight="1">
      <c r="A14" s="261" t="s">
        <v>50</v>
      </c>
      <c r="B14" s="281">
        <v>6.5</v>
      </c>
      <c r="C14" s="161">
        <v>28</v>
      </c>
      <c r="D14" s="161">
        <v>30</v>
      </c>
      <c r="E14" s="162"/>
      <c r="F14" s="160"/>
      <c r="G14" s="160"/>
      <c r="H14" s="163">
        <f t="shared" si="2"/>
        <v>50000</v>
      </c>
      <c r="I14" s="164">
        <f t="shared" si="1"/>
        <v>50000</v>
      </c>
      <c r="J14" s="187"/>
      <c r="K14" s="183"/>
      <c r="L14" s="183"/>
      <c r="M14" s="188"/>
      <c r="N14" s="189"/>
    </row>
    <row r="15" spans="1:14" s="169" customFormat="1" ht="18" customHeight="1">
      <c r="A15" s="261" t="s">
        <v>20</v>
      </c>
      <c r="B15" s="281">
        <v>14.8</v>
      </c>
      <c r="C15" s="160">
        <v>27</v>
      </c>
      <c r="D15" s="161">
        <v>33</v>
      </c>
      <c r="E15" s="162"/>
      <c r="F15" s="160"/>
      <c r="G15" s="160"/>
      <c r="H15" s="163">
        <f t="shared" si="2"/>
        <v>50000</v>
      </c>
      <c r="I15" s="164">
        <f t="shared" si="1"/>
        <v>50000</v>
      </c>
      <c r="J15" s="190"/>
      <c r="K15" s="191"/>
      <c r="L15" s="191"/>
      <c r="M15" s="192"/>
      <c r="N15" s="193"/>
    </row>
    <row r="16" spans="1:9" s="169" customFormat="1" ht="18" customHeight="1">
      <c r="A16" s="261" t="s">
        <v>36</v>
      </c>
      <c r="B16" s="281">
        <v>15.2</v>
      </c>
      <c r="C16" s="161">
        <v>27</v>
      </c>
      <c r="D16" s="161">
        <v>33</v>
      </c>
      <c r="E16" s="162"/>
      <c r="F16" s="64"/>
      <c r="G16" s="64"/>
      <c r="H16" s="163">
        <f t="shared" si="2"/>
        <v>50000</v>
      </c>
      <c r="I16" s="164">
        <f t="shared" si="1"/>
        <v>50000</v>
      </c>
    </row>
    <row r="17" spans="1:18" s="169" customFormat="1" ht="18" customHeight="1">
      <c r="A17" s="261" t="s">
        <v>18</v>
      </c>
      <c r="B17" s="281">
        <v>18.1</v>
      </c>
      <c r="C17" s="160">
        <v>26</v>
      </c>
      <c r="D17" s="181">
        <v>35</v>
      </c>
      <c r="E17" s="64"/>
      <c r="F17" s="64"/>
      <c r="G17" s="64"/>
      <c r="H17" s="163">
        <f t="shared" si="2"/>
        <v>50000</v>
      </c>
      <c r="I17" s="164">
        <f t="shared" si="1"/>
        <v>50000</v>
      </c>
      <c r="O17" s="175"/>
      <c r="P17" s="175"/>
      <c r="Q17" s="175"/>
      <c r="R17" s="176"/>
    </row>
    <row r="18" spans="1:13" s="169" customFormat="1" ht="18" customHeight="1">
      <c r="A18" s="261" t="s">
        <v>10</v>
      </c>
      <c r="B18" s="281">
        <v>22.5</v>
      </c>
      <c r="C18" s="160">
        <v>24</v>
      </c>
      <c r="D18" s="181">
        <v>39</v>
      </c>
      <c r="E18" s="64"/>
      <c r="F18" s="160"/>
      <c r="G18" s="160"/>
      <c r="H18" s="163">
        <f t="shared" si="2"/>
        <v>50000</v>
      </c>
      <c r="I18" s="164">
        <f t="shared" si="1"/>
        <v>50000</v>
      </c>
      <c r="J18" s="176"/>
      <c r="K18" s="176"/>
      <c r="L18" s="176"/>
      <c r="M18" s="176"/>
    </row>
    <row r="19" spans="1:13" s="169" customFormat="1" ht="18" customHeight="1">
      <c r="A19" s="261" t="s">
        <v>24</v>
      </c>
      <c r="B19" s="281">
        <v>14.8</v>
      </c>
      <c r="C19" s="160">
        <v>23</v>
      </c>
      <c r="D19" s="161">
        <v>34</v>
      </c>
      <c r="E19" s="162"/>
      <c r="F19" s="160"/>
      <c r="G19" s="160"/>
      <c r="H19" s="163">
        <f t="shared" si="2"/>
        <v>50000</v>
      </c>
      <c r="I19" s="164">
        <f t="shared" si="1"/>
        <v>50000</v>
      </c>
      <c r="J19" s="176"/>
      <c r="K19" s="176"/>
      <c r="L19" s="176"/>
      <c r="M19" s="176"/>
    </row>
    <row r="20" spans="1:9" s="144" customFormat="1" ht="18" customHeight="1">
      <c r="A20" s="261"/>
      <c r="B20" s="281"/>
      <c r="C20" s="160"/>
      <c r="D20" s="161"/>
      <c r="E20" s="162"/>
      <c r="F20" s="64"/>
      <c r="G20" s="64"/>
      <c r="H20" s="163">
        <f t="shared" si="2"/>
        <v>0</v>
      </c>
      <c r="I20" s="164">
        <f t="shared" si="1"/>
        <v>0</v>
      </c>
    </row>
    <row r="21" spans="1:9" s="144" customFormat="1" ht="18" customHeight="1">
      <c r="A21" s="261"/>
      <c r="B21" s="281"/>
      <c r="C21" s="161"/>
      <c r="D21" s="181"/>
      <c r="E21" s="64"/>
      <c r="F21" s="64"/>
      <c r="G21" s="64"/>
      <c r="H21" s="163">
        <f t="shared" si="2"/>
        <v>0</v>
      </c>
      <c r="I21" s="164">
        <f t="shared" si="1"/>
        <v>0</v>
      </c>
    </row>
    <row r="22" spans="1:9" s="144" customFormat="1" ht="18" customHeight="1">
      <c r="A22" s="261"/>
      <c r="B22" s="281"/>
      <c r="C22" s="160"/>
      <c r="D22" s="161"/>
      <c r="E22" s="162"/>
      <c r="F22" s="64"/>
      <c r="G22" s="64"/>
      <c r="H22" s="163">
        <f t="shared" si="2"/>
        <v>0</v>
      </c>
      <c r="I22" s="164">
        <f t="shared" si="1"/>
        <v>0</v>
      </c>
    </row>
    <row r="23" spans="1:9" s="144" customFormat="1" ht="18" customHeight="1">
      <c r="A23" s="261"/>
      <c r="B23" s="281"/>
      <c r="C23" s="64"/>
      <c r="D23" s="181"/>
      <c r="E23" s="64"/>
      <c r="F23" s="64"/>
      <c r="G23" s="64"/>
      <c r="H23" s="163">
        <f t="shared" si="2"/>
        <v>0</v>
      </c>
      <c r="I23" s="164">
        <f t="shared" si="1"/>
        <v>0</v>
      </c>
    </row>
    <row r="24" spans="1:9" s="144" customFormat="1" ht="18" customHeight="1">
      <c r="A24" s="261"/>
      <c r="B24" s="281"/>
      <c r="C24" s="160"/>
      <c r="D24" s="161"/>
      <c r="E24" s="162"/>
      <c r="F24" s="64"/>
      <c r="G24" s="64"/>
      <c r="H24" s="163">
        <f t="shared" si="2"/>
        <v>0</v>
      </c>
      <c r="I24" s="164">
        <f t="shared" si="1"/>
        <v>0</v>
      </c>
    </row>
    <row r="25" spans="1:9" s="144" customFormat="1" ht="18" customHeight="1">
      <c r="A25" s="261"/>
      <c r="B25" s="281"/>
      <c r="C25" s="160"/>
      <c r="D25" s="181"/>
      <c r="E25" s="64"/>
      <c r="F25" s="64"/>
      <c r="G25" s="64"/>
      <c r="H25" s="163">
        <f t="shared" si="2"/>
        <v>0</v>
      </c>
      <c r="I25" s="164">
        <f t="shared" si="1"/>
        <v>0</v>
      </c>
    </row>
    <row r="26" spans="1:9" s="144" customFormat="1" ht="18" customHeight="1">
      <c r="A26" s="261"/>
      <c r="B26" s="281"/>
      <c r="C26" s="160"/>
      <c r="D26" s="181"/>
      <c r="E26" s="64"/>
      <c r="F26" s="160"/>
      <c r="G26" s="160"/>
      <c r="H26" s="163">
        <f t="shared" si="2"/>
        <v>0</v>
      </c>
      <c r="I26" s="164">
        <f t="shared" si="1"/>
        <v>0</v>
      </c>
    </row>
    <row r="27" spans="1:9" s="144" customFormat="1" ht="18" customHeight="1">
      <c r="A27" s="174"/>
      <c r="B27" s="195"/>
      <c r="C27" s="160"/>
      <c r="D27" s="161"/>
      <c r="E27" s="162"/>
      <c r="F27" s="160"/>
      <c r="G27" s="160"/>
      <c r="H27" s="163">
        <f t="shared" si="2"/>
        <v>0</v>
      </c>
      <c r="I27" s="164">
        <f t="shared" si="1"/>
        <v>0</v>
      </c>
    </row>
    <row r="28" spans="1:9" ht="24" customHeight="1">
      <c r="A28" s="1"/>
      <c r="B28" s="3"/>
      <c r="C28" s="196"/>
      <c r="D28" s="3">
        <f>SUM(D4:D27)</f>
        <v>524</v>
      </c>
      <c r="E28" s="196"/>
      <c r="F28" s="3"/>
      <c r="G28" s="198">
        <f>SUM(G4:G27)</f>
        <v>39</v>
      </c>
      <c r="H28" s="198">
        <f>SUM(H4:H27)</f>
        <v>7160000</v>
      </c>
      <c r="I28" s="19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8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workbookViewId="0" topLeftCell="A1">
      <selection activeCell="A1" sqref="A1:N28"/>
    </sheetView>
  </sheetViews>
  <sheetFormatPr defaultColWidth="9.140625" defaultRowHeight="12.75"/>
  <cols>
    <col min="1" max="1" width="25.140625" style="141" customWidth="1"/>
    <col min="2" max="2" width="7.8515625" style="142" customWidth="1"/>
    <col min="3" max="3" width="8.421875" style="143" customWidth="1"/>
    <col min="4" max="4" width="6.8515625" style="142" customWidth="1"/>
    <col min="5" max="5" width="8.140625" style="142" customWidth="1"/>
    <col min="6" max="6" width="10.140625" style="142" customWidth="1"/>
    <col min="7" max="7" width="9.140625" style="142" customWidth="1"/>
    <col min="8" max="8" width="13.421875" style="142" customWidth="1"/>
    <col min="9" max="9" width="4.8515625" style="11" customWidth="1"/>
    <col min="10" max="10" width="8.421875" style="11" customWidth="1"/>
    <col min="11" max="11" width="7.00390625" style="11" customWidth="1"/>
    <col min="12" max="12" width="7.8515625" style="11" customWidth="1"/>
    <col min="13" max="13" width="7.421875" style="11" customWidth="1"/>
    <col min="14" max="14" width="12.421875" style="11" customWidth="1"/>
    <col min="15" max="15" width="7.421875" style="11" customWidth="1"/>
    <col min="16" max="16384" width="9.140625" style="11" customWidth="1"/>
  </cols>
  <sheetData>
    <row r="1" spans="2:14" s="144" customFormat="1" ht="43.5" customHeight="1">
      <c r="B1" s="419" t="s">
        <v>140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2:14" s="144" customFormat="1" ht="29.25" customHeight="1">
      <c r="B2" s="425" t="s">
        <v>242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4" s="158" customFormat="1" ht="27" customHeight="1">
      <c r="A3" s="147" t="s">
        <v>88</v>
      </c>
      <c r="B3" s="148" t="s">
        <v>89</v>
      </c>
      <c r="C3" s="148" t="s">
        <v>90</v>
      </c>
      <c r="D3" s="148" t="s">
        <v>91</v>
      </c>
      <c r="E3" s="148" t="s">
        <v>92</v>
      </c>
      <c r="F3" s="149" t="s">
        <v>93</v>
      </c>
      <c r="G3" s="150" t="s">
        <v>94</v>
      </c>
      <c r="H3" s="151" t="s">
        <v>95</v>
      </c>
      <c r="I3" s="152"/>
      <c r="J3" s="153" t="s">
        <v>93</v>
      </c>
      <c r="K3" s="154"/>
      <c r="L3" s="155"/>
      <c r="M3" s="156" t="s">
        <v>94</v>
      </c>
      <c r="N3" s="157" t="s">
        <v>96</v>
      </c>
    </row>
    <row r="4" spans="1:14" s="169" customFormat="1" ht="18" customHeight="1">
      <c r="A4" s="278" t="s">
        <v>40</v>
      </c>
      <c r="B4" s="279">
        <v>15.5</v>
      </c>
      <c r="C4" s="160">
        <v>33</v>
      </c>
      <c r="D4" s="181">
        <v>34</v>
      </c>
      <c r="E4" s="64"/>
      <c r="F4" s="160">
        <v>1</v>
      </c>
      <c r="G4" s="160">
        <v>10</v>
      </c>
      <c r="H4" s="163">
        <f>N4+I4</f>
        <v>1550000</v>
      </c>
      <c r="I4" s="164">
        <f>IF(E4&gt;0,$N$13,0)+IF(C4&gt;0,50000,0)+IF(C4&lt;0,50000,0)</f>
        <v>50000</v>
      </c>
      <c r="J4" s="165" t="s">
        <v>97</v>
      </c>
      <c r="K4" s="166"/>
      <c r="L4" s="167"/>
      <c r="M4" s="168">
        <v>10</v>
      </c>
      <c r="N4" s="163">
        <f>N12*25%</f>
        <v>1500000</v>
      </c>
    </row>
    <row r="5" spans="1:14" s="169" customFormat="1" ht="18" customHeight="1">
      <c r="A5" s="261" t="s">
        <v>32</v>
      </c>
      <c r="B5" s="281">
        <v>13.5</v>
      </c>
      <c r="C5" s="160">
        <v>32</v>
      </c>
      <c r="D5" s="161">
        <v>33</v>
      </c>
      <c r="E5" s="162">
        <v>10.85</v>
      </c>
      <c r="F5" s="160">
        <v>2</v>
      </c>
      <c r="G5" s="160">
        <v>8</v>
      </c>
      <c r="H5" s="163">
        <f aca="true" t="shared" si="0" ref="H5:H11">N5+I5</f>
        <v>1610000</v>
      </c>
      <c r="I5" s="164">
        <f aca="true" t="shared" si="1" ref="I5:I27">IF(E5&gt;0,$N$13,0)+IF(C5&gt;0,50000,0)+IF(C5&lt;0,50000,0)</f>
        <v>410000</v>
      </c>
      <c r="J5" s="170" t="s">
        <v>98</v>
      </c>
      <c r="K5" s="171"/>
      <c r="L5" s="172"/>
      <c r="M5" s="173">
        <v>8</v>
      </c>
      <c r="N5" s="163">
        <f>N12*20%</f>
        <v>1200000</v>
      </c>
    </row>
    <row r="6" spans="1:14" s="169" customFormat="1" ht="18" customHeight="1">
      <c r="A6" s="261" t="s">
        <v>48</v>
      </c>
      <c r="B6" s="281">
        <v>21.4</v>
      </c>
      <c r="C6" s="160">
        <v>32</v>
      </c>
      <c r="D6" s="181">
        <v>32</v>
      </c>
      <c r="E6" s="64"/>
      <c r="F6" s="64">
        <v>3</v>
      </c>
      <c r="G6" s="64">
        <v>6</v>
      </c>
      <c r="H6" s="163">
        <f t="shared" si="0"/>
        <v>950000</v>
      </c>
      <c r="I6" s="164">
        <f t="shared" si="1"/>
        <v>50000</v>
      </c>
      <c r="J6" s="170" t="s">
        <v>99</v>
      </c>
      <c r="K6" s="171"/>
      <c r="L6" s="172"/>
      <c r="M6" s="173">
        <v>6</v>
      </c>
      <c r="N6" s="163">
        <f>N12*15%</f>
        <v>900000</v>
      </c>
    </row>
    <row r="7" spans="1:18" s="169" customFormat="1" ht="18" customHeight="1">
      <c r="A7" s="261" t="s">
        <v>10</v>
      </c>
      <c r="B7" s="281">
        <v>22.5</v>
      </c>
      <c r="C7" s="161">
        <v>32</v>
      </c>
      <c r="D7" s="161">
        <v>36</v>
      </c>
      <c r="E7" s="64"/>
      <c r="F7" s="160">
        <v>4</v>
      </c>
      <c r="G7" s="160">
        <v>5</v>
      </c>
      <c r="H7" s="163">
        <f t="shared" si="0"/>
        <v>770000</v>
      </c>
      <c r="I7" s="164">
        <f t="shared" si="1"/>
        <v>50000</v>
      </c>
      <c r="J7" s="170" t="s">
        <v>100</v>
      </c>
      <c r="K7" s="171"/>
      <c r="L7" s="172"/>
      <c r="M7" s="173">
        <v>5</v>
      </c>
      <c r="N7" s="163">
        <f>N12*12%</f>
        <v>720000</v>
      </c>
      <c r="O7" s="175"/>
      <c r="P7" s="175"/>
      <c r="Q7" s="175"/>
      <c r="R7" s="176"/>
    </row>
    <row r="8" spans="1:14" s="169" customFormat="1" ht="18" customHeight="1">
      <c r="A8" s="261" t="s">
        <v>20</v>
      </c>
      <c r="B8" s="281">
        <v>14.8</v>
      </c>
      <c r="C8" s="160">
        <v>30</v>
      </c>
      <c r="D8" s="181">
        <v>35</v>
      </c>
      <c r="E8" s="162"/>
      <c r="F8" s="160">
        <v>5</v>
      </c>
      <c r="G8" s="160">
        <v>4</v>
      </c>
      <c r="H8" s="163">
        <f t="shared" si="0"/>
        <v>650000</v>
      </c>
      <c r="I8" s="164">
        <f t="shared" si="1"/>
        <v>50000</v>
      </c>
      <c r="J8" s="170" t="s">
        <v>101</v>
      </c>
      <c r="K8" s="171"/>
      <c r="L8" s="172"/>
      <c r="M8" s="173">
        <v>4</v>
      </c>
      <c r="N8" s="163">
        <f>N12*10%</f>
        <v>600000</v>
      </c>
    </row>
    <row r="9" spans="1:14" s="169" customFormat="1" ht="18" customHeight="1">
      <c r="A9" s="261" t="s">
        <v>54</v>
      </c>
      <c r="B9" s="281">
        <v>26.1</v>
      </c>
      <c r="C9" s="160">
        <v>29</v>
      </c>
      <c r="D9" s="161">
        <v>40</v>
      </c>
      <c r="E9" s="162"/>
      <c r="F9" s="178">
        <v>6</v>
      </c>
      <c r="G9" s="178">
        <v>3</v>
      </c>
      <c r="H9" s="163">
        <f t="shared" si="0"/>
        <v>530000</v>
      </c>
      <c r="I9" s="164">
        <f t="shared" si="1"/>
        <v>50000</v>
      </c>
      <c r="J9" s="170" t="s">
        <v>102</v>
      </c>
      <c r="K9" s="171"/>
      <c r="L9" s="172"/>
      <c r="M9" s="173">
        <v>3</v>
      </c>
      <c r="N9" s="163">
        <f>N12*8%</f>
        <v>480000</v>
      </c>
    </row>
    <row r="10" spans="1:14" s="169" customFormat="1" ht="18" customHeight="1">
      <c r="A10" s="261" t="s">
        <v>30</v>
      </c>
      <c r="B10" s="281">
        <v>10.9</v>
      </c>
      <c r="C10" s="181">
        <v>28</v>
      </c>
      <c r="D10" s="161">
        <v>35</v>
      </c>
      <c r="E10" s="64"/>
      <c r="F10" s="160">
        <v>7</v>
      </c>
      <c r="G10" s="160">
        <v>2</v>
      </c>
      <c r="H10" s="163">
        <f t="shared" si="0"/>
        <v>410000</v>
      </c>
      <c r="I10" s="164">
        <f t="shared" si="1"/>
        <v>50000</v>
      </c>
      <c r="J10" s="170" t="s">
        <v>103</v>
      </c>
      <c r="K10" s="171"/>
      <c r="L10" s="172"/>
      <c r="M10" s="173">
        <v>2</v>
      </c>
      <c r="N10" s="163">
        <f>N12*6%</f>
        <v>360000</v>
      </c>
    </row>
    <row r="11" spans="1:14" s="169" customFormat="1" ht="18" customHeight="1">
      <c r="A11" s="261" t="s">
        <v>18</v>
      </c>
      <c r="B11" s="281">
        <v>18</v>
      </c>
      <c r="C11" s="160">
        <v>28</v>
      </c>
      <c r="D11" s="161">
        <v>32</v>
      </c>
      <c r="E11" s="162"/>
      <c r="F11" s="160">
        <v>8</v>
      </c>
      <c r="G11" s="160">
        <v>1</v>
      </c>
      <c r="H11" s="163">
        <f t="shared" si="0"/>
        <v>290000</v>
      </c>
      <c r="I11" s="164">
        <f t="shared" si="1"/>
        <v>50000</v>
      </c>
      <c r="J11" s="170" t="s">
        <v>104</v>
      </c>
      <c r="K11" s="171"/>
      <c r="L11" s="172"/>
      <c r="M11" s="173">
        <v>1</v>
      </c>
      <c r="N11" s="163">
        <f>N12*4%</f>
        <v>240000</v>
      </c>
    </row>
    <row r="12" spans="1:14" s="169" customFormat="1" ht="18" customHeight="1">
      <c r="A12" s="261" t="s">
        <v>50</v>
      </c>
      <c r="B12" s="281">
        <v>6.8</v>
      </c>
      <c r="C12" s="160">
        <v>26</v>
      </c>
      <c r="D12" s="161">
        <v>35</v>
      </c>
      <c r="E12" s="162"/>
      <c r="F12" s="160"/>
      <c r="G12" s="160"/>
      <c r="H12" s="163">
        <f>I12</f>
        <v>50000</v>
      </c>
      <c r="I12" s="164">
        <f t="shared" si="1"/>
        <v>50000</v>
      </c>
      <c r="J12" s="179" t="s">
        <v>105</v>
      </c>
      <c r="K12" s="171"/>
      <c r="L12" s="172"/>
      <c r="M12" s="173"/>
      <c r="N12" s="180">
        <v>6000000</v>
      </c>
    </row>
    <row r="13" spans="1:14" s="169" customFormat="1" ht="18" customHeight="1">
      <c r="A13" s="261" t="s">
        <v>44</v>
      </c>
      <c r="B13" s="281">
        <v>16.8</v>
      </c>
      <c r="C13" s="160">
        <v>24</v>
      </c>
      <c r="D13" s="161">
        <v>37</v>
      </c>
      <c r="E13" s="64"/>
      <c r="F13" s="160"/>
      <c r="G13" s="160"/>
      <c r="H13" s="163">
        <f aca="true" t="shared" si="2" ref="H13:H27">I13</f>
        <v>50000</v>
      </c>
      <c r="I13" s="164">
        <f t="shared" si="1"/>
        <v>50000</v>
      </c>
      <c r="J13" s="182" t="s">
        <v>106</v>
      </c>
      <c r="K13" s="183"/>
      <c r="L13" s="184"/>
      <c r="M13" s="185">
        <v>1</v>
      </c>
      <c r="N13" s="186">
        <f>N10</f>
        <v>360000</v>
      </c>
    </row>
    <row r="14" spans="1:14" s="169" customFormat="1" ht="18" customHeight="1">
      <c r="A14" s="261" t="s">
        <v>58</v>
      </c>
      <c r="B14" s="281">
        <v>20</v>
      </c>
      <c r="C14" s="160">
        <v>22</v>
      </c>
      <c r="D14" s="161">
        <v>39</v>
      </c>
      <c r="E14" s="162"/>
      <c r="F14" s="160"/>
      <c r="G14" s="160"/>
      <c r="H14" s="163">
        <f t="shared" si="2"/>
        <v>50000</v>
      </c>
      <c r="I14" s="164">
        <f t="shared" si="1"/>
        <v>50000</v>
      </c>
      <c r="J14" s="187"/>
      <c r="K14" s="183"/>
      <c r="L14" s="183"/>
      <c r="M14" s="188"/>
      <c r="N14" s="189"/>
    </row>
    <row r="15" spans="1:14" s="169" customFormat="1" ht="18" customHeight="1">
      <c r="A15" s="261" t="s">
        <v>38</v>
      </c>
      <c r="B15" s="281">
        <v>21.6</v>
      </c>
      <c r="C15" s="161">
        <v>22</v>
      </c>
      <c r="D15" s="161">
        <v>40</v>
      </c>
      <c r="E15" s="64"/>
      <c r="F15" s="160"/>
      <c r="G15" s="160"/>
      <c r="H15" s="163">
        <f t="shared" si="2"/>
        <v>50000</v>
      </c>
      <c r="I15" s="164">
        <f t="shared" si="1"/>
        <v>50000</v>
      </c>
      <c r="J15" s="190"/>
      <c r="K15" s="191"/>
      <c r="L15" s="191"/>
      <c r="M15" s="192"/>
      <c r="N15" s="193"/>
    </row>
    <row r="16" spans="1:9" s="169" customFormat="1" ht="18" customHeight="1">
      <c r="A16" s="261" t="s">
        <v>28</v>
      </c>
      <c r="B16" s="281">
        <v>18</v>
      </c>
      <c r="C16" s="160">
        <v>15</v>
      </c>
      <c r="D16" s="161">
        <v>42</v>
      </c>
      <c r="E16" s="162"/>
      <c r="F16" s="64"/>
      <c r="G16" s="64"/>
      <c r="H16" s="163">
        <f t="shared" si="2"/>
        <v>50000</v>
      </c>
      <c r="I16" s="164">
        <f t="shared" si="1"/>
        <v>50000</v>
      </c>
    </row>
    <row r="17" spans="1:18" s="169" customFormat="1" ht="18" customHeight="1">
      <c r="A17" s="65"/>
      <c r="B17" s="66"/>
      <c r="C17" s="161"/>
      <c r="D17" s="161"/>
      <c r="E17" s="64"/>
      <c r="F17" s="64"/>
      <c r="G17" s="64"/>
      <c r="H17" s="163">
        <f t="shared" si="2"/>
        <v>0</v>
      </c>
      <c r="I17" s="164">
        <f t="shared" si="1"/>
        <v>0</v>
      </c>
      <c r="O17" s="175"/>
      <c r="P17" s="175"/>
      <c r="Q17" s="175"/>
      <c r="R17" s="176"/>
    </row>
    <row r="18" spans="1:18" s="169" customFormat="1" ht="18" customHeight="1">
      <c r="A18" s="65"/>
      <c r="B18" s="66"/>
      <c r="C18" s="160"/>
      <c r="D18" s="181"/>
      <c r="E18" s="64"/>
      <c r="F18" s="160"/>
      <c r="G18" s="160"/>
      <c r="H18" s="163">
        <f t="shared" si="2"/>
        <v>0</v>
      </c>
      <c r="I18" s="164">
        <f t="shared" si="1"/>
        <v>0</v>
      </c>
      <c r="J18" s="11"/>
      <c r="K18" s="11"/>
      <c r="L18" s="11"/>
      <c r="M18" s="11"/>
      <c r="N18" s="11"/>
      <c r="O18" s="176"/>
      <c r="P18" s="176"/>
      <c r="Q18" s="176"/>
      <c r="R18" s="176"/>
    </row>
    <row r="19" spans="1:18" s="169" customFormat="1" ht="18" customHeight="1">
      <c r="A19" s="65"/>
      <c r="B19" s="66"/>
      <c r="C19" s="64"/>
      <c r="D19" s="161"/>
      <c r="E19" s="162"/>
      <c r="F19" s="160"/>
      <c r="G19" s="160"/>
      <c r="H19" s="163">
        <f t="shared" si="2"/>
        <v>0</v>
      </c>
      <c r="I19" s="164">
        <f t="shared" si="1"/>
        <v>0</v>
      </c>
      <c r="J19" s="11"/>
      <c r="K19" s="11"/>
      <c r="L19" s="11"/>
      <c r="M19" s="11"/>
      <c r="N19" s="11"/>
      <c r="O19" s="176"/>
      <c r="P19" s="176"/>
      <c r="Q19" s="176"/>
      <c r="R19" s="176"/>
    </row>
    <row r="20" spans="1:14" s="144" customFormat="1" ht="18" customHeight="1">
      <c r="A20" s="65"/>
      <c r="B20" s="66"/>
      <c r="C20" s="160"/>
      <c r="D20" s="161"/>
      <c r="E20" s="64"/>
      <c r="F20" s="64"/>
      <c r="G20" s="64"/>
      <c r="H20" s="163">
        <f t="shared" si="2"/>
        <v>0</v>
      </c>
      <c r="I20" s="164">
        <f t="shared" si="1"/>
        <v>0</v>
      </c>
      <c r="J20" s="11"/>
      <c r="K20" s="11"/>
      <c r="L20" s="11"/>
      <c r="M20" s="11"/>
      <c r="N20" s="11"/>
    </row>
    <row r="21" spans="1:14" s="144" customFormat="1" ht="18" customHeight="1">
      <c r="A21" s="65"/>
      <c r="B21" s="66"/>
      <c r="C21" s="160"/>
      <c r="D21" s="161"/>
      <c r="E21" s="162"/>
      <c r="F21" s="64"/>
      <c r="G21" s="64"/>
      <c r="H21" s="163">
        <f t="shared" si="2"/>
        <v>0</v>
      </c>
      <c r="I21" s="164">
        <f t="shared" si="1"/>
        <v>0</v>
      </c>
      <c r="J21" s="11"/>
      <c r="K21" s="11"/>
      <c r="L21" s="11"/>
      <c r="M21" s="11"/>
      <c r="N21" s="11"/>
    </row>
    <row r="22" spans="1:14" s="144" customFormat="1" ht="18" customHeight="1">
      <c r="A22" s="65"/>
      <c r="B22" s="66"/>
      <c r="C22" s="160"/>
      <c r="D22" s="181"/>
      <c r="E22" s="64"/>
      <c r="F22" s="64"/>
      <c r="G22" s="64"/>
      <c r="H22" s="163">
        <f t="shared" si="2"/>
        <v>0</v>
      </c>
      <c r="I22" s="164">
        <f t="shared" si="1"/>
        <v>0</v>
      </c>
      <c r="J22" s="11"/>
      <c r="K22" s="11"/>
      <c r="L22" s="11"/>
      <c r="M22" s="11"/>
      <c r="N22" s="11"/>
    </row>
    <row r="23" spans="1:14" s="144" customFormat="1" ht="18" customHeight="1">
      <c r="A23" s="65"/>
      <c r="B23" s="66"/>
      <c r="C23" s="160"/>
      <c r="D23" s="161"/>
      <c r="E23" s="162"/>
      <c r="F23" s="64"/>
      <c r="G23" s="64"/>
      <c r="H23" s="163">
        <f t="shared" si="2"/>
        <v>0</v>
      </c>
      <c r="I23" s="164">
        <f t="shared" si="1"/>
        <v>0</v>
      </c>
      <c r="J23" s="11"/>
      <c r="K23" s="11"/>
      <c r="L23" s="11"/>
      <c r="M23" s="11"/>
      <c r="N23" s="11"/>
    </row>
    <row r="24" spans="1:14" s="144" customFormat="1" ht="18" customHeight="1">
      <c r="A24" s="65"/>
      <c r="B24" s="66"/>
      <c r="C24" s="160"/>
      <c r="D24" s="161"/>
      <c r="E24" s="162"/>
      <c r="F24" s="64"/>
      <c r="G24" s="64"/>
      <c r="H24" s="163">
        <f t="shared" si="2"/>
        <v>0</v>
      </c>
      <c r="I24" s="164">
        <f t="shared" si="1"/>
        <v>0</v>
      </c>
      <c r="J24" s="11"/>
      <c r="K24" s="11"/>
      <c r="L24" s="11"/>
      <c r="M24" s="11"/>
      <c r="N24" s="11"/>
    </row>
    <row r="25" spans="1:14" s="144" customFormat="1" ht="18" customHeight="1">
      <c r="A25" s="65"/>
      <c r="B25" s="66"/>
      <c r="C25" s="161"/>
      <c r="D25" s="181"/>
      <c r="E25" s="162"/>
      <c r="F25" s="64"/>
      <c r="G25" s="64"/>
      <c r="H25" s="163">
        <f t="shared" si="2"/>
        <v>0</v>
      </c>
      <c r="I25" s="164">
        <f t="shared" si="1"/>
        <v>0</v>
      </c>
      <c r="J25" s="11"/>
      <c r="K25" s="11"/>
      <c r="L25" s="11"/>
      <c r="M25" s="11"/>
      <c r="N25" s="11"/>
    </row>
    <row r="26" spans="1:14" s="144" customFormat="1" ht="18" customHeight="1">
      <c r="A26" s="65"/>
      <c r="B26" s="66"/>
      <c r="C26" s="160"/>
      <c r="D26" s="161"/>
      <c r="E26" s="162"/>
      <c r="F26" s="160"/>
      <c r="G26" s="160"/>
      <c r="H26" s="163">
        <f t="shared" si="2"/>
        <v>0</v>
      </c>
      <c r="I26" s="164">
        <f t="shared" si="1"/>
        <v>0</v>
      </c>
      <c r="J26" s="11"/>
      <c r="K26" s="11"/>
      <c r="L26" s="11"/>
      <c r="M26" s="11"/>
      <c r="N26" s="11"/>
    </row>
    <row r="27" spans="1:14" s="144" customFormat="1" ht="18" customHeight="1">
      <c r="A27" s="65"/>
      <c r="B27" s="66"/>
      <c r="C27" s="161"/>
      <c r="D27" s="181"/>
      <c r="E27" s="64"/>
      <c r="F27" s="160"/>
      <c r="G27" s="160"/>
      <c r="H27" s="163">
        <f t="shared" si="2"/>
        <v>0</v>
      </c>
      <c r="I27" s="164">
        <f t="shared" si="1"/>
        <v>0</v>
      </c>
      <c r="J27" s="11"/>
      <c r="K27" s="11"/>
      <c r="L27" s="11"/>
      <c r="M27" s="11"/>
      <c r="N27" s="11"/>
    </row>
    <row r="28" spans="1:9" ht="24" customHeight="1">
      <c r="A28" s="1"/>
      <c r="B28" s="3"/>
      <c r="C28" s="196"/>
      <c r="D28" s="198">
        <f>SUM(D4:D27)</f>
        <v>470</v>
      </c>
      <c r="E28" s="196"/>
      <c r="F28" s="3"/>
      <c r="G28" s="198">
        <f>SUM(G4:G27)</f>
        <v>39</v>
      </c>
      <c r="H28" s="198">
        <f>SUM(H4:H27)</f>
        <v>7010000</v>
      </c>
      <c r="I28" s="19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8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workbookViewId="0" topLeftCell="A1">
      <selection activeCell="A1" sqref="A1:N28"/>
    </sheetView>
  </sheetViews>
  <sheetFormatPr defaultColWidth="9.140625" defaultRowHeight="12.75"/>
  <cols>
    <col min="1" max="1" width="25.140625" style="141" customWidth="1"/>
    <col min="2" max="2" width="7.8515625" style="142" customWidth="1"/>
    <col min="3" max="3" width="8.421875" style="143" customWidth="1"/>
    <col min="4" max="4" width="6.8515625" style="142" customWidth="1"/>
    <col min="5" max="5" width="8.140625" style="142" customWidth="1"/>
    <col min="6" max="6" width="10.140625" style="142" customWidth="1"/>
    <col min="7" max="7" width="9.140625" style="142" customWidth="1"/>
    <col min="8" max="8" width="13.421875" style="142" customWidth="1"/>
    <col min="9" max="9" width="4.8515625" style="11" customWidth="1"/>
    <col min="10" max="10" width="8.421875" style="11" customWidth="1"/>
    <col min="11" max="11" width="7.00390625" style="11" customWidth="1"/>
    <col min="12" max="12" width="7.8515625" style="11" customWidth="1"/>
    <col min="13" max="13" width="7.421875" style="11" customWidth="1"/>
    <col min="14" max="14" width="12.421875" style="11" customWidth="1"/>
    <col min="15" max="15" width="7.421875" style="11" customWidth="1"/>
    <col min="16" max="16384" width="9.140625" style="11" customWidth="1"/>
  </cols>
  <sheetData>
    <row r="1" spans="2:14" s="144" customFormat="1" ht="43.5" customHeight="1">
      <c r="B1" s="419" t="s">
        <v>141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2:14" s="144" customFormat="1" ht="29.25" customHeight="1">
      <c r="B2" s="425" t="s">
        <v>238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4" s="158" customFormat="1" ht="27" customHeight="1">
      <c r="A3" s="147" t="s">
        <v>88</v>
      </c>
      <c r="B3" s="148" t="s">
        <v>89</v>
      </c>
      <c r="C3" s="148" t="s">
        <v>90</v>
      </c>
      <c r="D3" s="148" t="s">
        <v>91</v>
      </c>
      <c r="E3" s="148" t="s">
        <v>92</v>
      </c>
      <c r="F3" s="149" t="s">
        <v>93</v>
      </c>
      <c r="G3" s="150" t="s">
        <v>94</v>
      </c>
      <c r="H3" s="151" t="s">
        <v>95</v>
      </c>
      <c r="I3" s="152"/>
      <c r="J3" s="153" t="s">
        <v>93</v>
      </c>
      <c r="K3" s="154"/>
      <c r="L3" s="155"/>
      <c r="M3" s="156" t="s">
        <v>94</v>
      </c>
      <c r="N3" s="157" t="s">
        <v>96</v>
      </c>
    </row>
    <row r="4" spans="1:14" s="169" customFormat="1" ht="18" customHeight="1">
      <c r="A4" s="278" t="s">
        <v>30</v>
      </c>
      <c r="B4" s="279">
        <v>10.9</v>
      </c>
      <c r="C4" s="161">
        <v>39</v>
      </c>
      <c r="D4" s="181">
        <v>27</v>
      </c>
      <c r="E4" s="64"/>
      <c r="F4" s="160">
        <v>1</v>
      </c>
      <c r="G4" s="160">
        <v>10</v>
      </c>
      <c r="H4" s="163">
        <f>N4+I4</f>
        <v>2050000</v>
      </c>
      <c r="I4" s="164">
        <f>IF(E4&gt;0,$N$13,0)+IF(C4&gt;0,50000,0)+IF(C4&lt;0,50000,0)</f>
        <v>50000</v>
      </c>
      <c r="J4" s="165" t="s">
        <v>97</v>
      </c>
      <c r="K4" s="166"/>
      <c r="L4" s="167"/>
      <c r="M4" s="168">
        <v>10</v>
      </c>
      <c r="N4" s="163">
        <f>N12*25%</f>
        <v>2000000</v>
      </c>
    </row>
    <row r="5" spans="1:14" s="169" customFormat="1" ht="18" customHeight="1">
      <c r="A5" s="261" t="s">
        <v>40</v>
      </c>
      <c r="B5" s="281">
        <v>15.5</v>
      </c>
      <c r="C5" s="160">
        <v>39</v>
      </c>
      <c r="D5" s="181">
        <v>30</v>
      </c>
      <c r="E5" s="64"/>
      <c r="F5" s="160">
        <v>2</v>
      </c>
      <c r="G5" s="160">
        <v>8</v>
      </c>
      <c r="H5" s="163">
        <f aca="true" t="shared" si="0" ref="H5:H11">N5+I5</f>
        <v>1650000</v>
      </c>
      <c r="I5" s="164">
        <f aca="true" t="shared" si="1" ref="I5:I27">IF(E5&gt;0,$N$13,0)+IF(C5&gt;0,50000,0)+IF(C5&lt;0,50000,0)</f>
        <v>50000</v>
      </c>
      <c r="J5" s="170" t="s">
        <v>98</v>
      </c>
      <c r="K5" s="171"/>
      <c r="L5" s="172"/>
      <c r="M5" s="173">
        <v>8</v>
      </c>
      <c r="N5" s="163">
        <f>N12*20%</f>
        <v>1600000</v>
      </c>
    </row>
    <row r="6" spans="1:14" s="169" customFormat="1" ht="18" customHeight="1">
      <c r="A6" s="261" t="s">
        <v>52</v>
      </c>
      <c r="B6" s="281">
        <v>10.1</v>
      </c>
      <c r="C6" s="160">
        <v>37</v>
      </c>
      <c r="D6" s="161">
        <v>30</v>
      </c>
      <c r="E6" s="162"/>
      <c r="F6" s="64">
        <v>3</v>
      </c>
      <c r="G6" s="64">
        <v>6</v>
      </c>
      <c r="H6" s="163">
        <f t="shared" si="0"/>
        <v>1250000</v>
      </c>
      <c r="I6" s="164">
        <f t="shared" si="1"/>
        <v>50000</v>
      </c>
      <c r="J6" s="170" t="s">
        <v>99</v>
      </c>
      <c r="K6" s="171"/>
      <c r="L6" s="172"/>
      <c r="M6" s="173">
        <v>6</v>
      </c>
      <c r="N6" s="163">
        <f>N12*15%</f>
        <v>1200000</v>
      </c>
    </row>
    <row r="7" spans="1:18" s="169" customFormat="1" ht="18" customHeight="1">
      <c r="A7" s="261" t="s">
        <v>54</v>
      </c>
      <c r="B7" s="281">
        <v>26.1</v>
      </c>
      <c r="C7" s="161">
        <v>37</v>
      </c>
      <c r="D7" s="161">
        <v>37</v>
      </c>
      <c r="E7" s="64"/>
      <c r="F7" s="160">
        <v>4</v>
      </c>
      <c r="G7" s="160">
        <v>5</v>
      </c>
      <c r="H7" s="163">
        <f t="shared" si="0"/>
        <v>1010000</v>
      </c>
      <c r="I7" s="164">
        <f t="shared" si="1"/>
        <v>50000</v>
      </c>
      <c r="J7" s="170" t="s">
        <v>100</v>
      </c>
      <c r="K7" s="171"/>
      <c r="L7" s="172"/>
      <c r="M7" s="173">
        <v>5</v>
      </c>
      <c r="N7" s="163">
        <f>N12*12%</f>
        <v>960000</v>
      </c>
      <c r="O7" s="175"/>
      <c r="P7" s="175"/>
      <c r="Q7" s="175"/>
      <c r="R7" s="176"/>
    </row>
    <row r="8" spans="1:14" s="169" customFormat="1" ht="18" customHeight="1">
      <c r="A8" s="261" t="s">
        <v>46</v>
      </c>
      <c r="B8" s="281">
        <v>14.6</v>
      </c>
      <c r="C8" s="160">
        <v>35</v>
      </c>
      <c r="D8" s="161">
        <v>29</v>
      </c>
      <c r="E8" s="64"/>
      <c r="F8" s="160">
        <v>5</v>
      </c>
      <c r="G8" s="160">
        <v>4</v>
      </c>
      <c r="H8" s="163">
        <f t="shared" si="0"/>
        <v>850000</v>
      </c>
      <c r="I8" s="164">
        <f t="shared" si="1"/>
        <v>50000</v>
      </c>
      <c r="J8" s="170" t="s">
        <v>101</v>
      </c>
      <c r="K8" s="171"/>
      <c r="L8" s="172"/>
      <c r="M8" s="173">
        <v>4</v>
      </c>
      <c r="N8" s="163">
        <f>N12*10%</f>
        <v>800000</v>
      </c>
    </row>
    <row r="9" spans="1:14" s="169" customFormat="1" ht="18" customHeight="1">
      <c r="A9" s="261" t="s">
        <v>58</v>
      </c>
      <c r="B9" s="281">
        <v>20</v>
      </c>
      <c r="C9" s="160">
        <v>35</v>
      </c>
      <c r="D9" s="161">
        <v>33</v>
      </c>
      <c r="E9" s="64"/>
      <c r="F9" s="178">
        <v>6</v>
      </c>
      <c r="G9" s="178">
        <v>3</v>
      </c>
      <c r="H9" s="163">
        <f t="shared" si="0"/>
        <v>690000</v>
      </c>
      <c r="I9" s="164">
        <f t="shared" si="1"/>
        <v>50000</v>
      </c>
      <c r="J9" s="170" t="s">
        <v>102</v>
      </c>
      <c r="K9" s="171"/>
      <c r="L9" s="172"/>
      <c r="M9" s="173">
        <v>3</v>
      </c>
      <c r="N9" s="163">
        <f>N12*8%</f>
        <v>640000</v>
      </c>
    </row>
    <row r="10" spans="1:14" s="169" customFormat="1" ht="18" customHeight="1">
      <c r="A10" s="261" t="s">
        <v>32</v>
      </c>
      <c r="B10" s="281">
        <v>13.5</v>
      </c>
      <c r="C10" s="161">
        <v>34</v>
      </c>
      <c r="D10" s="161">
        <v>30</v>
      </c>
      <c r="E10" s="162"/>
      <c r="F10" s="160">
        <v>7</v>
      </c>
      <c r="G10" s="160">
        <v>2</v>
      </c>
      <c r="H10" s="163">
        <f t="shared" si="0"/>
        <v>530000</v>
      </c>
      <c r="I10" s="164">
        <f t="shared" si="1"/>
        <v>50000</v>
      </c>
      <c r="J10" s="170" t="s">
        <v>103</v>
      </c>
      <c r="K10" s="171"/>
      <c r="L10" s="172"/>
      <c r="M10" s="173">
        <v>2</v>
      </c>
      <c r="N10" s="163">
        <f>N12*6%</f>
        <v>480000</v>
      </c>
    </row>
    <row r="11" spans="1:14" s="169" customFormat="1" ht="18" customHeight="1">
      <c r="A11" s="261" t="s">
        <v>10</v>
      </c>
      <c r="B11" s="281">
        <v>22.5</v>
      </c>
      <c r="C11" s="160">
        <v>34</v>
      </c>
      <c r="D11" s="181">
        <v>34</v>
      </c>
      <c r="E11" s="162"/>
      <c r="F11" s="160">
        <v>8</v>
      </c>
      <c r="G11" s="160">
        <v>1</v>
      </c>
      <c r="H11" s="163">
        <f t="shared" si="0"/>
        <v>370000</v>
      </c>
      <c r="I11" s="164">
        <f t="shared" si="1"/>
        <v>50000</v>
      </c>
      <c r="J11" s="170" t="s">
        <v>104</v>
      </c>
      <c r="K11" s="171"/>
      <c r="L11" s="172"/>
      <c r="M11" s="173">
        <v>1</v>
      </c>
      <c r="N11" s="163">
        <f>N12*4%</f>
        <v>320000</v>
      </c>
    </row>
    <row r="12" spans="1:14" s="169" customFormat="1" ht="18" customHeight="1">
      <c r="A12" s="261" t="s">
        <v>38</v>
      </c>
      <c r="B12" s="281">
        <v>21.6</v>
      </c>
      <c r="C12" s="161">
        <v>33</v>
      </c>
      <c r="D12" s="161">
        <v>34</v>
      </c>
      <c r="E12" s="162"/>
      <c r="F12" s="160"/>
      <c r="G12" s="160"/>
      <c r="H12" s="163">
        <f>I12</f>
        <v>50000</v>
      </c>
      <c r="I12" s="164">
        <f t="shared" si="1"/>
        <v>50000</v>
      </c>
      <c r="J12" s="179" t="s">
        <v>105</v>
      </c>
      <c r="K12" s="171"/>
      <c r="L12" s="172"/>
      <c r="M12" s="173"/>
      <c r="N12" s="180">
        <v>8000000</v>
      </c>
    </row>
    <row r="13" spans="1:14" s="169" customFormat="1" ht="18" customHeight="1">
      <c r="A13" s="261" t="s">
        <v>44</v>
      </c>
      <c r="B13" s="281">
        <v>16.8</v>
      </c>
      <c r="C13" s="160">
        <v>32</v>
      </c>
      <c r="D13" s="161">
        <v>35</v>
      </c>
      <c r="E13" s="162"/>
      <c r="F13" s="160"/>
      <c r="G13" s="160"/>
      <c r="H13" s="163">
        <f aca="true" t="shared" si="2" ref="H13:H27">I13</f>
        <v>50000</v>
      </c>
      <c r="I13" s="164">
        <f t="shared" si="1"/>
        <v>50000</v>
      </c>
      <c r="J13" s="182" t="s">
        <v>106</v>
      </c>
      <c r="K13" s="183"/>
      <c r="L13" s="184"/>
      <c r="M13" s="185">
        <v>1</v>
      </c>
      <c r="N13" s="186">
        <f>N10</f>
        <v>480000</v>
      </c>
    </row>
    <row r="14" spans="1:14" s="169" customFormat="1" ht="18" customHeight="1">
      <c r="A14" s="261" t="s">
        <v>12</v>
      </c>
      <c r="B14" s="281">
        <v>11.9</v>
      </c>
      <c r="C14" s="160">
        <v>29</v>
      </c>
      <c r="D14" s="161">
        <v>34</v>
      </c>
      <c r="E14" s="162"/>
      <c r="F14" s="160"/>
      <c r="G14" s="160"/>
      <c r="H14" s="163">
        <f t="shared" si="2"/>
        <v>50000</v>
      </c>
      <c r="I14" s="164">
        <f t="shared" si="1"/>
        <v>50000</v>
      </c>
      <c r="J14" s="187"/>
      <c r="K14" s="183"/>
      <c r="L14" s="183"/>
      <c r="M14" s="188"/>
      <c r="N14" s="189"/>
    </row>
    <row r="15" spans="1:14" s="169" customFormat="1" ht="18" customHeight="1">
      <c r="A15" s="261" t="s">
        <v>48</v>
      </c>
      <c r="B15" s="281">
        <v>21.4</v>
      </c>
      <c r="C15" s="160">
        <v>29</v>
      </c>
      <c r="D15" s="181">
        <v>39</v>
      </c>
      <c r="E15" s="162">
        <v>8.1</v>
      </c>
      <c r="F15" s="160"/>
      <c r="G15" s="160"/>
      <c r="H15" s="163">
        <f t="shared" si="2"/>
        <v>530000</v>
      </c>
      <c r="I15" s="164">
        <f t="shared" si="1"/>
        <v>530000</v>
      </c>
      <c r="J15" s="190"/>
      <c r="K15" s="191"/>
      <c r="L15" s="191"/>
      <c r="M15" s="192"/>
      <c r="N15" s="193"/>
    </row>
    <row r="16" spans="1:9" s="169" customFormat="1" ht="18" customHeight="1">
      <c r="A16" s="261"/>
      <c r="B16" s="281"/>
      <c r="C16" s="160"/>
      <c r="D16" s="161"/>
      <c r="E16" s="162"/>
      <c r="F16" s="64"/>
      <c r="G16" s="64"/>
      <c r="H16" s="163">
        <f t="shared" si="2"/>
        <v>0</v>
      </c>
      <c r="I16" s="164">
        <f t="shared" si="1"/>
        <v>0</v>
      </c>
    </row>
    <row r="17" spans="1:18" s="169" customFormat="1" ht="18" customHeight="1">
      <c r="A17" s="261"/>
      <c r="B17" s="281"/>
      <c r="C17" s="161"/>
      <c r="D17" s="181"/>
      <c r="E17" s="178"/>
      <c r="F17" s="64"/>
      <c r="G17" s="64"/>
      <c r="H17" s="163">
        <f t="shared" si="2"/>
        <v>0</v>
      </c>
      <c r="I17" s="164">
        <f t="shared" si="1"/>
        <v>0</v>
      </c>
      <c r="O17" s="175"/>
      <c r="P17" s="175"/>
      <c r="Q17" s="175"/>
      <c r="R17" s="176"/>
    </row>
    <row r="18" spans="1:13" s="169" customFormat="1" ht="18" customHeight="1">
      <c r="A18" s="261"/>
      <c r="B18" s="281"/>
      <c r="C18" s="160"/>
      <c r="D18" s="181"/>
      <c r="E18" s="64"/>
      <c r="F18" s="160"/>
      <c r="G18" s="160"/>
      <c r="H18" s="163">
        <f t="shared" si="2"/>
        <v>0</v>
      </c>
      <c r="I18" s="164">
        <f t="shared" si="1"/>
        <v>0</v>
      </c>
      <c r="J18" s="176"/>
      <c r="K18" s="176"/>
      <c r="L18" s="176"/>
      <c r="M18" s="176"/>
    </row>
    <row r="19" spans="1:13" s="169" customFormat="1" ht="18" customHeight="1">
      <c r="A19" s="261"/>
      <c r="B19" s="281"/>
      <c r="C19" s="161"/>
      <c r="D19" s="161"/>
      <c r="E19" s="162"/>
      <c r="F19" s="160"/>
      <c r="G19" s="160"/>
      <c r="H19" s="163">
        <f t="shared" si="2"/>
        <v>0</v>
      </c>
      <c r="I19" s="164">
        <f t="shared" si="1"/>
        <v>0</v>
      </c>
      <c r="J19" s="176"/>
      <c r="K19" s="176"/>
      <c r="L19" s="176"/>
      <c r="M19" s="176"/>
    </row>
    <row r="20" spans="1:9" s="144" customFormat="1" ht="18" customHeight="1">
      <c r="A20" s="261"/>
      <c r="B20" s="281"/>
      <c r="C20" s="181"/>
      <c r="D20" s="161"/>
      <c r="E20" s="162"/>
      <c r="F20" s="64"/>
      <c r="G20" s="64"/>
      <c r="H20" s="163">
        <f t="shared" si="2"/>
        <v>0</v>
      </c>
      <c r="I20" s="164">
        <f t="shared" si="1"/>
        <v>0</v>
      </c>
    </row>
    <row r="21" spans="1:9" s="144" customFormat="1" ht="18" customHeight="1">
      <c r="A21" s="261"/>
      <c r="B21" s="281"/>
      <c r="C21" s="160"/>
      <c r="D21" s="161"/>
      <c r="E21" s="64"/>
      <c r="F21" s="64"/>
      <c r="G21" s="64"/>
      <c r="H21" s="163">
        <f t="shared" si="2"/>
        <v>0</v>
      </c>
      <c r="I21" s="164">
        <f t="shared" si="1"/>
        <v>0</v>
      </c>
    </row>
    <row r="22" spans="1:9" s="144" customFormat="1" ht="18" customHeight="1">
      <c r="A22" s="261"/>
      <c r="B22" s="281"/>
      <c r="C22" s="160"/>
      <c r="D22" s="181"/>
      <c r="E22" s="162"/>
      <c r="F22" s="64"/>
      <c r="G22" s="64"/>
      <c r="H22" s="163">
        <f t="shared" si="2"/>
        <v>0</v>
      </c>
      <c r="I22" s="164">
        <f t="shared" si="1"/>
        <v>0</v>
      </c>
    </row>
    <row r="23" spans="1:9" s="144" customFormat="1" ht="18" customHeight="1">
      <c r="A23" s="261"/>
      <c r="B23" s="281"/>
      <c r="C23" s="160"/>
      <c r="D23" s="161"/>
      <c r="E23" s="162"/>
      <c r="F23" s="64"/>
      <c r="G23" s="64"/>
      <c r="H23" s="163">
        <f t="shared" si="2"/>
        <v>0</v>
      </c>
      <c r="I23" s="164">
        <f t="shared" si="1"/>
        <v>0</v>
      </c>
    </row>
    <row r="24" spans="1:9" s="144" customFormat="1" ht="18" customHeight="1">
      <c r="A24" s="261"/>
      <c r="B24" s="281"/>
      <c r="C24" s="64"/>
      <c r="D24" s="161"/>
      <c r="E24" s="162"/>
      <c r="F24" s="64"/>
      <c r="G24" s="64"/>
      <c r="H24" s="163">
        <f t="shared" si="2"/>
        <v>0</v>
      </c>
      <c r="I24" s="164">
        <f t="shared" si="1"/>
        <v>0</v>
      </c>
    </row>
    <row r="25" spans="1:9" s="144" customFormat="1" ht="18" customHeight="1">
      <c r="A25" s="261"/>
      <c r="B25" s="281"/>
      <c r="C25" s="160"/>
      <c r="D25" s="161"/>
      <c r="E25" s="162"/>
      <c r="F25" s="64"/>
      <c r="G25" s="64"/>
      <c r="H25" s="163">
        <f t="shared" si="2"/>
        <v>0</v>
      </c>
      <c r="I25" s="164">
        <f t="shared" si="1"/>
        <v>0</v>
      </c>
    </row>
    <row r="26" spans="1:9" s="144" customFormat="1" ht="18" customHeight="1">
      <c r="A26" s="261"/>
      <c r="B26" s="281"/>
      <c r="C26" s="64"/>
      <c r="D26" s="181"/>
      <c r="E26" s="64"/>
      <c r="F26" s="160"/>
      <c r="G26" s="160"/>
      <c r="H26" s="163">
        <f t="shared" si="2"/>
        <v>0</v>
      </c>
      <c r="I26" s="164">
        <f t="shared" si="1"/>
        <v>0</v>
      </c>
    </row>
    <row r="27" spans="1:9" s="144" customFormat="1" ht="18" customHeight="1">
      <c r="A27" s="65"/>
      <c r="B27" s="66"/>
      <c r="C27" s="160"/>
      <c r="D27" s="161"/>
      <c r="E27" s="162"/>
      <c r="F27" s="160"/>
      <c r="G27" s="160"/>
      <c r="H27" s="163">
        <f t="shared" si="2"/>
        <v>0</v>
      </c>
      <c r="I27" s="164">
        <f t="shared" si="1"/>
        <v>0</v>
      </c>
    </row>
    <row r="28" spans="1:9" ht="24" customHeight="1">
      <c r="A28" s="1"/>
      <c r="B28" s="3"/>
      <c r="C28" s="196"/>
      <c r="D28" s="214">
        <f>SUM(D4:D27)</f>
        <v>392</v>
      </c>
      <c r="E28" s="196"/>
      <c r="F28" s="3"/>
      <c r="G28" s="198">
        <f>SUM(G4:G27)</f>
        <v>39</v>
      </c>
      <c r="H28" s="198">
        <f>SUM(H4:H27)</f>
        <v>9080000</v>
      </c>
      <c r="I28" s="19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9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workbookViewId="0" topLeftCell="A1">
      <selection activeCell="A1" sqref="A1:N28"/>
    </sheetView>
  </sheetViews>
  <sheetFormatPr defaultColWidth="9.140625" defaultRowHeight="12.75"/>
  <cols>
    <col min="1" max="1" width="25.140625" style="141" customWidth="1"/>
    <col min="2" max="2" width="7.8515625" style="142" customWidth="1"/>
    <col min="3" max="3" width="8.421875" style="143" customWidth="1"/>
    <col min="4" max="4" width="6.8515625" style="142" customWidth="1"/>
    <col min="5" max="5" width="8.140625" style="142" customWidth="1"/>
    <col min="6" max="6" width="10.140625" style="142" customWidth="1"/>
    <col min="7" max="7" width="9.140625" style="142" customWidth="1"/>
    <col min="8" max="8" width="13.421875" style="142" customWidth="1"/>
    <col min="9" max="9" width="4.8515625" style="11" customWidth="1"/>
    <col min="10" max="10" width="8.421875" style="11" customWidth="1"/>
    <col min="11" max="11" width="7.00390625" style="11" customWidth="1"/>
    <col min="12" max="12" width="7.8515625" style="11" customWidth="1"/>
    <col min="13" max="13" width="7.421875" style="11" customWidth="1"/>
    <col min="14" max="14" width="12.421875" style="11" customWidth="1"/>
    <col min="15" max="15" width="7.421875" style="11" customWidth="1"/>
    <col min="16" max="16384" width="9.140625" style="11" customWidth="1"/>
  </cols>
  <sheetData>
    <row r="1" spans="2:14" s="144" customFormat="1" ht="43.5" customHeight="1">
      <c r="B1" s="419" t="s">
        <v>143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2:14" s="144" customFormat="1" ht="29.25" customHeight="1">
      <c r="B2" s="425" t="s">
        <v>233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</row>
    <row r="3" spans="1:14" s="158" customFormat="1" ht="27" customHeight="1">
      <c r="A3" s="147" t="s">
        <v>88</v>
      </c>
      <c r="B3" s="148" t="s">
        <v>89</v>
      </c>
      <c r="C3" s="148" t="s">
        <v>90</v>
      </c>
      <c r="D3" s="148" t="s">
        <v>91</v>
      </c>
      <c r="E3" s="148" t="s">
        <v>92</v>
      </c>
      <c r="F3" s="149" t="s">
        <v>93</v>
      </c>
      <c r="G3" s="150" t="s">
        <v>94</v>
      </c>
      <c r="H3" s="151" t="s">
        <v>95</v>
      </c>
      <c r="I3" s="152"/>
      <c r="J3" s="153" t="s">
        <v>93</v>
      </c>
      <c r="K3" s="154"/>
      <c r="L3" s="155"/>
      <c r="M3" s="156" t="s">
        <v>94</v>
      </c>
      <c r="N3" s="157" t="s">
        <v>96</v>
      </c>
    </row>
    <row r="4" spans="1:14" s="169" customFormat="1" ht="18" customHeight="1">
      <c r="A4" s="278" t="s">
        <v>40</v>
      </c>
      <c r="B4" s="279">
        <v>15.5</v>
      </c>
      <c r="C4" s="160">
        <v>39</v>
      </c>
      <c r="D4" s="161">
        <v>33</v>
      </c>
      <c r="E4" s="162"/>
      <c r="F4" s="160">
        <v>1</v>
      </c>
      <c r="G4" s="160">
        <v>10</v>
      </c>
      <c r="H4" s="163">
        <f>N4+I4</f>
        <v>1550000</v>
      </c>
      <c r="I4" s="164">
        <f>IF(E4&gt;0,$N$13,0)+IF(C4&gt;0,50000,0)+IF(C4&lt;0,50000,0)</f>
        <v>50000</v>
      </c>
      <c r="J4" s="165" t="s">
        <v>97</v>
      </c>
      <c r="K4" s="166"/>
      <c r="L4" s="167"/>
      <c r="M4" s="168">
        <v>10</v>
      </c>
      <c r="N4" s="163">
        <f>N12*25%</f>
        <v>1500000</v>
      </c>
    </row>
    <row r="5" spans="1:14" s="169" customFormat="1" ht="18" customHeight="1">
      <c r="A5" s="261" t="s">
        <v>30</v>
      </c>
      <c r="B5" s="281">
        <v>10.9</v>
      </c>
      <c r="C5" s="64">
        <v>37</v>
      </c>
      <c r="D5" s="161">
        <v>29</v>
      </c>
      <c r="E5" s="162">
        <v>1.59</v>
      </c>
      <c r="F5" s="160">
        <v>2</v>
      </c>
      <c r="G5" s="160">
        <v>8</v>
      </c>
      <c r="H5" s="163">
        <f aca="true" t="shared" si="0" ref="H5:H11">N5+I5</f>
        <v>1610000</v>
      </c>
      <c r="I5" s="164">
        <f aca="true" t="shared" si="1" ref="I5:I27">IF(E5&gt;0,$N$13,0)+IF(C5&gt;0,50000,0)+IF(C5&lt;0,50000,0)</f>
        <v>410000</v>
      </c>
      <c r="J5" s="170" t="s">
        <v>98</v>
      </c>
      <c r="K5" s="171"/>
      <c r="L5" s="172"/>
      <c r="M5" s="173">
        <v>8</v>
      </c>
      <c r="N5" s="163">
        <f>N12*20%</f>
        <v>1200000</v>
      </c>
    </row>
    <row r="6" spans="1:14" s="169" customFormat="1" ht="18" customHeight="1">
      <c r="A6" s="261" t="s">
        <v>24</v>
      </c>
      <c r="B6" s="281">
        <v>17.2</v>
      </c>
      <c r="C6" s="160">
        <v>37</v>
      </c>
      <c r="D6" s="161">
        <v>34</v>
      </c>
      <c r="E6" s="162">
        <v>2.34</v>
      </c>
      <c r="F6" s="64">
        <v>3</v>
      </c>
      <c r="G6" s="64">
        <v>6</v>
      </c>
      <c r="H6" s="163">
        <f>N6+50000+100000</f>
        <v>1050000</v>
      </c>
      <c r="I6" s="164">
        <f t="shared" si="1"/>
        <v>410000</v>
      </c>
      <c r="J6" s="170" t="s">
        <v>99</v>
      </c>
      <c r="K6" s="171"/>
      <c r="L6" s="172"/>
      <c r="M6" s="173">
        <v>6</v>
      </c>
      <c r="N6" s="163">
        <f>N12*15%</f>
        <v>900000</v>
      </c>
    </row>
    <row r="7" spans="1:18" s="169" customFormat="1" ht="18" customHeight="1">
      <c r="A7" s="261" t="s">
        <v>32</v>
      </c>
      <c r="B7" s="281">
        <v>13.5</v>
      </c>
      <c r="C7" s="160">
        <v>33</v>
      </c>
      <c r="D7" s="161">
        <v>38</v>
      </c>
      <c r="E7" s="64">
        <v>2.72</v>
      </c>
      <c r="F7" s="160">
        <v>4</v>
      </c>
      <c r="G7" s="160">
        <v>5</v>
      </c>
      <c r="H7" s="163">
        <f>N7+50000+100000</f>
        <v>870000</v>
      </c>
      <c r="I7" s="164">
        <f t="shared" si="1"/>
        <v>410000</v>
      </c>
      <c r="J7" s="170" t="s">
        <v>100</v>
      </c>
      <c r="K7" s="171"/>
      <c r="L7" s="172"/>
      <c r="M7" s="173">
        <v>5</v>
      </c>
      <c r="N7" s="163">
        <f>N12*12%</f>
        <v>720000</v>
      </c>
      <c r="O7" s="175"/>
      <c r="P7" s="175"/>
      <c r="Q7" s="175"/>
      <c r="R7" s="176"/>
    </row>
    <row r="8" spans="1:14" s="169" customFormat="1" ht="18" customHeight="1">
      <c r="A8" s="261" t="s">
        <v>48</v>
      </c>
      <c r="B8" s="281">
        <v>21.4</v>
      </c>
      <c r="C8" s="160">
        <v>33</v>
      </c>
      <c r="D8" s="181">
        <v>36</v>
      </c>
      <c r="E8" s="162"/>
      <c r="F8" s="160">
        <v>5</v>
      </c>
      <c r="G8" s="160">
        <v>4</v>
      </c>
      <c r="H8" s="163">
        <f t="shared" si="0"/>
        <v>650000</v>
      </c>
      <c r="I8" s="164">
        <f t="shared" si="1"/>
        <v>50000</v>
      </c>
      <c r="J8" s="170" t="s">
        <v>101</v>
      </c>
      <c r="K8" s="171"/>
      <c r="L8" s="172"/>
      <c r="M8" s="173">
        <v>4</v>
      </c>
      <c r="N8" s="163">
        <f>N12*10%</f>
        <v>600000</v>
      </c>
    </row>
    <row r="9" spans="1:14" s="169" customFormat="1" ht="18" customHeight="1">
      <c r="A9" s="261" t="s">
        <v>28</v>
      </c>
      <c r="B9" s="281">
        <v>18</v>
      </c>
      <c r="C9" s="161">
        <v>32</v>
      </c>
      <c r="D9" s="181">
        <v>38</v>
      </c>
      <c r="E9" s="162"/>
      <c r="F9" s="178">
        <v>6</v>
      </c>
      <c r="G9" s="178">
        <v>3</v>
      </c>
      <c r="H9" s="163">
        <f t="shared" si="0"/>
        <v>530000</v>
      </c>
      <c r="I9" s="164">
        <f t="shared" si="1"/>
        <v>50000</v>
      </c>
      <c r="J9" s="170" t="s">
        <v>102</v>
      </c>
      <c r="K9" s="171"/>
      <c r="L9" s="172"/>
      <c r="M9" s="173">
        <v>3</v>
      </c>
      <c r="N9" s="163">
        <f>N12*8%</f>
        <v>480000</v>
      </c>
    </row>
    <row r="10" spans="1:14" s="169" customFormat="1" ht="18" customHeight="1">
      <c r="A10" s="261" t="s">
        <v>20</v>
      </c>
      <c r="B10" s="281">
        <v>14.8</v>
      </c>
      <c r="C10" s="161">
        <v>31</v>
      </c>
      <c r="D10" s="161">
        <v>37</v>
      </c>
      <c r="E10" s="162"/>
      <c r="F10" s="160">
        <v>7</v>
      </c>
      <c r="G10" s="160">
        <v>2</v>
      </c>
      <c r="H10" s="163">
        <f t="shared" si="0"/>
        <v>410000</v>
      </c>
      <c r="I10" s="164">
        <f t="shared" si="1"/>
        <v>50000</v>
      </c>
      <c r="J10" s="170" t="s">
        <v>103</v>
      </c>
      <c r="K10" s="171"/>
      <c r="L10" s="172"/>
      <c r="M10" s="173">
        <v>2</v>
      </c>
      <c r="N10" s="163">
        <f>N12*6%</f>
        <v>360000</v>
      </c>
    </row>
    <row r="11" spans="1:14" s="169" customFormat="1" ht="18" customHeight="1">
      <c r="A11" s="261" t="s">
        <v>50</v>
      </c>
      <c r="B11" s="281">
        <v>6.8</v>
      </c>
      <c r="C11" s="161">
        <v>30</v>
      </c>
      <c r="D11" s="161">
        <v>37</v>
      </c>
      <c r="E11" s="64"/>
      <c r="F11" s="160">
        <v>8</v>
      </c>
      <c r="G11" s="160">
        <v>1</v>
      </c>
      <c r="H11" s="163">
        <f t="shared" si="0"/>
        <v>290000</v>
      </c>
      <c r="I11" s="164">
        <f t="shared" si="1"/>
        <v>50000</v>
      </c>
      <c r="J11" s="170" t="s">
        <v>104</v>
      </c>
      <c r="K11" s="171"/>
      <c r="L11" s="172"/>
      <c r="M11" s="173">
        <v>1</v>
      </c>
      <c r="N11" s="163">
        <f>N12*4%</f>
        <v>240000</v>
      </c>
    </row>
    <row r="12" spans="1:14" s="169" customFormat="1" ht="18" customHeight="1">
      <c r="A12" s="261" t="s">
        <v>12</v>
      </c>
      <c r="B12" s="281">
        <v>11.9</v>
      </c>
      <c r="C12" s="160">
        <v>30</v>
      </c>
      <c r="D12" s="161">
        <v>33</v>
      </c>
      <c r="E12" s="162"/>
      <c r="F12" s="160"/>
      <c r="G12" s="160"/>
      <c r="H12" s="163">
        <f>I12</f>
        <v>50000</v>
      </c>
      <c r="I12" s="164">
        <f t="shared" si="1"/>
        <v>50000</v>
      </c>
      <c r="J12" s="179" t="s">
        <v>105</v>
      </c>
      <c r="K12" s="171"/>
      <c r="L12" s="172"/>
      <c r="M12" s="173"/>
      <c r="N12" s="180">
        <v>6000000</v>
      </c>
    </row>
    <row r="13" spans="1:14" s="169" customFormat="1" ht="18" customHeight="1">
      <c r="A13" s="261" t="s">
        <v>46</v>
      </c>
      <c r="B13" s="281">
        <v>14.6</v>
      </c>
      <c r="C13" s="160">
        <v>29</v>
      </c>
      <c r="D13" s="161">
        <v>35</v>
      </c>
      <c r="E13" s="162"/>
      <c r="F13" s="160"/>
      <c r="G13" s="160"/>
      <c r="H13" s="163">
        <f aca="true" t="shared" si="2" ref="H13:H27">I13</f>
        <v>50000</v>
      </c>
      <c r="I13" s="164">
        <f t="shared" si="1"/>
        <v>50000</v>
      </c>
      <c r="J13" s="182" t="s">
        <v>106</v>
      </c>
      <c r="K13" s="183"/>
      <c r="L13" s="184"/>
      <c r="M13" s="185">
        <v>1</v>
      </c>
      <c r="N13" s="186">
        <f>N10</f>
        <v>360000</v>
      </c>
    </row>
    <row r="14" spans="1:14" s="169" customFormat="1" ht="18" customHeight="1">
      <c r="A14" s="261" t="s">
        <v>44</v>
      </c>
      <c r="B14" s="281">
        <v>16.8</v>
      </c>
      <c r="C14" s="160">
        <v>29</v>
      </c>
      <c r="D14" s="161">
        <v>31</v>
      </c>
      <c r="E14" s="162"/>
      <c r="F14" s="160"/>
      <c r="G14" s="160"/>
      <c r="H14" s="163">
        <f t="shared" si="2"/>
        <v>50000</v>
      </c>
      <c r="I14" s="164">
        <f t="shared" si="1"/>
        <v>50000</v>
      </c>
      <c r="J14" s="187"/>
      <c r="K14" s="183"/>
      <c r="L14" s="183"/>
      <c r="M14" s="188"/>
      <c r="N14" s="189"/>
    </row>
    <row r="15" spans="1:14" s="169" customFormat="1" ht="18" customHeight="1">
      <c r="A15" s="261" t="s">
        <v>36</v>
      </c>
      <c r="B15" s="281">
        <v>15.2</v>
      </c>
      <c r="C15" s="160">
        <v>28</v>
      </c>
      <c r="D15" s="161">
        <v>42</v>
      </c>
      <c r="E15" s="162"/>
      <c r="F15" s="160"/>
      <c r="G15" s="160"/>
      <c r="H15" s="163">
        <f t="shared" si="2"/>
        <v>50000</v>
      </c>
      <c r="I15" s="164">
        <f t="shared" si="1"/>
        <v>50000</v>
      </c>
      <c r="J15" s="190"/>
      <c r="K15" s="191"/>
      <c r="L15" s="191"/>
      <c r="M15" s="192"/>
      <c r="N15" s="193"/>
    </row>
    <row r="16" spans="1:9" s="169" customFormat="1" ht="18" customHeight="1">
      <c r="A16" s="261" t="s">
        <v>18</v>
      </c>
      <c r="B16" s="281">
        <v>18</v>
      </c>
      <c r="C16" s="161">
        <v>25</v>
      </c>
      <c r="D16" s="161">
        <v>41</v>
      </c>
      <c r="E16" s="181"/>
      <c r="F16" s="64"/>
      <c r="G16" s="64"/>
      <c r="H16" s="163">
        <f t="shared" si="2"/>
        <v>50000</v>
      </c>
      <c r="I16" s="164">
        <f t="shared" si="1"/>
        <v>50000</v>
      </c>
    </row>
    <row r="17" spans="1:18" s="169" customFormat="1" ht="18" customHeight="1">
      <c r="A17" s="261" t="s">
        <v>58</v>
      </c>
      <c r="B17" s="281">
        <v>20</v>
      </c>
      <c r="C17" s="160">
        <v>25</v>
      </c>
      <c r="D17" s="161">
        <v>39</v>
      </c>
      <c r="E17" s="64"/>
      <c r="F17" s="64"/>
      <c r="G17" s="64"/>
      <c r="H17" s="163">
        <f t="shared" si="2"/>
        <v>50000</v>
      </c>
      <c r="I17" s="164">
        <f t="shared" si="1"/>
        <v>50000</v>
      </c>
      <c r="O17" s="175"/>
      <c r="P17" s="175"/>
      <c r="Q17" s="175"/>
      <c r="R17" s="176"/>
    </row>
    <row r="18" spans="1:13" s="169" customFormat="1" ht="18" customHeight="1">
      <c r="A18" s="261" t="s">
        <v>26</v>
      </c>
      <c r="B18" s="281">
        <v>14.4</v>
      </c>
      <c r="C18" s="160">
        <v>23</v>
      </c>
      <c r="D18" s="161">
        <v>39</v>
      </c>
      <c r="E18" s="162"/>
      <c r="F18" s="160"/>
      <c r="G18" s="160"/>
      <c r="H18" s="163">
        <f t="shared" si="2"/>
        <v>50000</v>
      </c>
      <c r="I18" s="164">
        <f t="shared" si="1"/>
        <v>50000</v>
      </c>
      <c r="J18" s="176"/>
      <c r="K18" s="176"/>
      <c r="L18" s="176"/>
      <c r="M18" s="176"/>
    </row>
    <row r="19" spans="1:13" s="169" customFormat="1" ht="18" customHeight="1">
      <c r="A19" s="261" t="s">
        <v>38</v>
      </c>
      <c r="B19" s="281">
        <v>21.6</v>
      </c>
      <c r="C19" s="181">
        <v>23</v>
      </c>
      <c r="D19" s="161">
        <v>41</v>
      </c>
      <c r="E19" s="162"/>
      <c r="F19" s="160"/>
      <c r="G19" s="160"/>
      <c r="H19" s="163">
        <f t="shared" si="2"/>
        <v>50000</v>
      </c>
      <c r="I19" s="164">
        <f t="shared" si="1"/>
        <v>50000</v>
      </c>
      <c r="J19" s="176"/>
      <c r="K19" s="176"/>
      <c r="L19" s="176"/>
      <c r="M19" s="176"/>
    </row>
    <row r="20" spans="1:9" s="144" customFormat="1" ht="18" customHeight="1">
      <c r="A20" s="261" t="s">
        <v>54</v>
      </c>
      <c r="B20" s="281">
        <v>26.1</v>
      </c>
      <c r="C20" s="160">
        <v>20</v>
      </c>
      <c r="D20" s="161">
        <v>45</v>
      </c>
      <c r="E20" s="162"/>
      <c r="F20" s="64"/>
      <c r="G20" s="64"/>
      <c r="H20" s="163">
        <f t="shared" si="2"/>
        <v>50000</v>
      </c>
      <c r="I20" s="164">
        <f t="shared" si="1"/>
        <v>50000</v>
      </c>
    </row>
    <row r="21" spans="1:9" s="144" customFormat="1" ht="18" customHeight="1">
      <c r="A21" s="261"/>
      <c r="B21" s="281"/>
      <c r="C21" s="161"/>
      <c r="D21" s="181"/>
      <c r="E21" s="162"/>
      <c r="F21" s="64"/>
      <c r="G21" s="64"/>
      <c r="H21" s="163">
        <f t="shared" si="2"/>
        <v>0</v>
      </c>
      <c r="I21" s="164">
        <f t="shared" si="1"/>
        <v>0</v>
      </c>
    </row>
    <row r="22" spans="1:9" s="144" customFormat="1" ht="18" customHeight="1">
      <c r="A22" s="261"/>
      <c r="B22" s="281"/>
      <c r="C22" s="160"/>
      <c r="D22" s="181"/>
      <c r="E22" s="64"/>
      <c r="F22" s="64"/>
      <c r="G22" s="64"/>
      <c r="H22" s="163">
        <f t="shared" si="2"/>
        <v>0</v>
      </c>
      <c r="I22" s="164">
        <f t="shared" si="1"/>
        <v>0</v>
      </c>
    </row>
    <row r="23" spans="1:9" s="144" customFormat="1" ht="18" customHeight="1">
      <c r="A23" s="261"/>
      <c r="B23" s="281"/>
      <c r="C23" s="161"/>
      <c r="D23" s="181"/>
      <c r="E23" s="64"/>
      <c r="F23" s="64"/>
      <c r="G23" s="64"/>
      <c r="H23" s="163">
        <f t="shared" si="2"/>
        <v>0</v>
      </c>
      <c r="I23" s="164">
        <f t="shared" si="1"/>
        <v>0</v>
      </c>
    </row>
    <row r="24" spans="1:9" s="144" customFormat="1" ht="18" customHeight="1">
      <c r="A24" s="261"/>
      <c r="B24" s="281"/>
      <c r="C24" s="64"/>
      <c r="D24" s="181"/>
      <c r="E24" s="64"/>
      <c r="F24" s="64"/>
      <c r="G24" s="64"/>
      <c r="H24" s="163">
        <f t="shared" si="2"/>
        <v>0</v>
      </c>
      <c r="I24" s="164">
        <f t="shared" si="1"/>
        <v>0</v>
      </c>
    </row>
    <row r="25" spans="1:9" s="144" customFormat="1" ht="18" customHeight="1">
      <c r="A25" s="261"/>
      <c r="B25" s="281"/>
      <c r="C25" s="160"/>
      <c r="D25" s="181"/>
      <c r="E25" s="64"/>
      <c r="F25" s="64"/>
      <c r="G25" s="64"/>
      <c r="H25" s="163">
        <f t="shared" si="2"/>
        <v>0</v>
      </c>
      <c r="I25" s="164">
        <f t="shared" si="1"/>
        <v>0</v>
      </c>
    </row>
    <row r="26" spans="1:9" s="144" customFormat="1" ht="18" customHeight="1">
      <c r="A26" s="261"/>
      <c r="B26" s="281"/>
      <c r="C26" s="160"/>
      <c r="D26" s="181"/>
      <c r="E26" s="64"/>
      <c r="F26" s="160"/>
      <c r="G26" s="160"/>
      <c r="H26" s="163">
        <f t="shared" si="2"/>
        <v>0</v>
      </c>
      <c r="I26" s="164">
        <f t="shared" si="1"/>
        <v>0</v>
      </c>
    </row>
    <row r="27" spans="1:9" s="144" customFormat="1" ht="18" customHeight="1">
      <c r="A27" s="261"/>
      <c r="B27" s="281"/>
      <c r="C27" s="160"/>
      <c r="D27" s="311"/>
      <c r="E27" s="162"/>
      <c r="F27" s="160"/>
      <c r="G27" s="160"/>
      <c r="H27" s="163">
        <f t="shared" si="2"/>
        <v>0</v>
      </c>
      <c r="I27" s="164">
        <f t="shared" si="1"/>
        <v>0</v>
      </c>
    </row>
    <row r="28" spans="3:9" ht="24" customHeight="1" thickBot="1">
      <c r="C28" s="196"/>
      <c r="D28" s="312">
        <f>SUM(D4:D27)</f>
        <v>628</v>
      </c>
      <c r="E28" s="196"/>
      <c r="F28" s="3"/>
      <c r="G28" s="198">
        <f>SUM(G4:G27)</f>
        <v>39</v>
      </c>
      <c r="H28" s="198">
        <f>SUM(H4:H27)</f>
        <v>7410000</v>
      </c>
      <c r="I28" s="199"/>
    </row>
    <row r="29" ht="18" thickTop="1"/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8"/>
  <ignoredErrors>
    <ignoredError sqref="H6" formula="1"/>
  </ignoredErrors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workbookViewId="0" topLeftCell="A1">
      <selection activeCell="A1" sqref="A1:N28"/>
    </sheetView>
  </sheetViews>
  <sheetFormatPr defaultColWidth="9.140625" defaultRowHeight="12.75"/>
  <cols>
    <col min="1" max="1" width="25.140625" style="141" customWidth="1"/>
    <col min="2" max="2" width="7.8515625" style="142" customWidth="1"/>
    <col min="3" max="3" width="8.421875" style="143" customWidth="1"/>
    <col min="4" max="4" width="6.8515625" style="142" customWidth="1"/>
    <col min="5" max="5" width="8.140625" style="142" customWidth="1"/>
    <col min="6" max="6" width="10.140625" style="142" customWidth="1"/>
    <col min="7" max="7" width="9.140625" style="142" customWidth="1"/>
    <col min="8" max="8" width="13.421875" style="142" customWidth="1"/>
    <col min="9" max="9" width="4.8515625" style="11" customWidth="1"/>
    <col min="10" max="10" width="8.421875" style="11" customWidth="1"/>
    <col min="11" max="11" width="7.00390625" style="11" customWidth="1"/>
    <col min="12" max="12" width="7.8515625" style="11" customWidth="1"/>
    <col min="13" max="13" width="7.421875" style="11" customWidth="1"/>
    <col min="14" max="14" width="12.421875" style="11" customWidth="1"/>
    <col min="15" max="15" width="7.421875" style="11" customWidth="1"/>
    <col min="16" max="16" width="9.140625" style="295" customWidth="1"/>
    <col min="17" max="16384" width="9.140625" style="11" customWidth="1"/>
  </cols>
  <sheetData>
    <row r="1" spans="2:16" s="144" customFormat="1" ht="43.5" customHeight="1">
      <c r="B1" s="419" t="s">
        <v>142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P1" s="292"/>
    </row>
    <row r="2" spans="2:16" s="144" customFormat="1" ht="29.25" customHeight="1">
      <c r="B2" s="425" t="s">
        <v>214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P2" s="292"/>
    </row>
    <row r="3" spans="1:17" s="158" customFormat="1" ht="27" customHeight="1">
      <c r="A3" s="147" t="s">
        <v>88</v>
      </c>
      <c r="B3" s="148" t="s">
        <v>89</v>
      </c>
      <c r="C3" s="148" t="s">
        <v>90</v>
      </c>
      <c r="D3" s="148" t="s">
        <v>91</v>
      </c>
      <c r="E3" s="148" t="s">
        <v>92</v>
      </c>
      <c r="F3" s="149" t="s">
        <v>93</v>
      </c>
      <c r="G3" s="150" t="s">
        <v>94</v>
      </c>
      <c r="H3" s="151" t="s">
        <v>95</v>
      </c>
      <c r="I3" s="152"/>
      <c r="J3" s="153" t="s">
        <v>93</v>
      </c>
      <c r="K3" s="154"/>
      <c r="L3" s="155"/>
      <c r="M3" s="156" t="s">
        <v>94</v>
      </c>
      <c r="N3" s="157" t="s">
        <v>96</v>
      </c>
      <c r="P3" s="293" t="s">
        <v>87</v>
      </c>
      <c r="Q3" s="158" t="s">
        <v>213</v>
      </c>
    </row>
    <row r="4" spans="1:17" s="169" customFormat="1" ht="18" customHeight="1">
      <c r="A4" s="278" t="s">
        <v>18</v>
      </c>
      <c r="B4" s="279">
        <v>18</v>
      </c>
      <c r="C4" s="160">
        <v>27</v>
      </c>
      <c r="D4" s="161">
        <v>32</v>
      </c>
      <c r="E4" s="162"/>
      <c r="F4" s="160">
        <v>1</v>
      </c>
      <c r="G4" s="160">
        <v>10</v>
      </c>
      <c r="H4" s="163">
        <f>N4+I4</f>
        <v>1550000</v>
      </c>
      <c r="I4" s="164">
        <f>IF(E4&gt;0,$N$13,0)+IF(C4&gt;0,50000,0)+IF(C4&lt;0,50000,0)</f>
        <v>50000</v>
      </c>
      <c r="J4" s="165" t="s">
        <v>97</v>
      </c>
      <c r="K4" s="166"/>
      <c r="L4" s="167"/>
      <c r="M4" s="168">
        <v>10</v>
      </c>
      <c r="N4" s="163">
        <f>N12*25%</f>
        <v>1500000</v>
      </c>
      <c r="P4" s="294">
        <f>Q4/13*18</f>
        <v>31.846153846153847</v>
      </c>
      <c r="Q4" s="169">
        <v>23</v>
      </c>
    </row>
    <row r="5" spans="1:17" s="169" customFormat="1" ht="18" customHeight="1">
      <c r="A5" s="261" t="s">
        <v>56</v>
      </c>
      <c r="B5" s="281">
        <v>13.7</v>
      </c>
      <c r="C5" s="160">
        <v>26</v>
      </c>
      <c r="D5" s="161">
        <v>33</v>
      </c>
      <c r="E5" s="162"/>
      <c r="F5" s="160">
        <v>2</v>
      </c>
      <c r="G5" s="160">
        <v>8</v>
      </c>
      <c r="H5" s="163">
        <f aca="true" t="shared" si="0" ref="H5:H11">N5+I5</f>
        <v>1250000</v>
      </c>
      <c r="I5" s="164">
        <f aca="true" t="shared" si="1" ref="I5:I27">IF(E5&gt;0,$N$13,0)+IF(C5&gt;0,50000,0)+IF(C5&lt;0,50000,0)</f>
        <v>50000</v>
      </c>
      <c r="J5" s="170" t="s">
        <v>98</v>
      </c>
      <c r="K5" s="171"/>
      <c r="L5" s="172"/>
      <c r="M5" s="173">
        <v>8</v>
      </c>
      <c r="N5" s="163">
        <f>N12*20%</f>
        <v>1200000</v>
      </c>
      <c r="P5" s="294">
        <f aca="true" t="shared" si="2" ref="P5:P15">Q5/13*18</f>
        <v>33.23076923076923</v>
      </c>
      <c r="Q5" s="169">
        <v>24</v>
      </c>
    </row>
    <row r="6" spans="1:17" s="169" customFormat="1" ht="18" customHeight="1">
      <c r="A6" s="261" t="s">
        <v>30</v>
      </c>
      <c r="B6" s="281">
        <v>10.9</v>
      </c>
      <c r="C6" s="160">
        <v>25</v>
      </c>
      <c r="D6" s="161">
        <v>33</v>
      </c>
      <c r="E6" s="162"/>
      <c r="F6" s="64">
        <v>3</v>
      </c>
      <c r="G6" s="64">
        <v>6</v>
      </c>
      <c r="H6" s="163">
        <f t="shared" si="0"/>
        <v>950000</v>
      </c>
      <c r="I6" s="164">
        <f t="shared" si="1"/>
        <v>50000</v>
      </c>
      <c r="J6" s="170" t="s">
        <v>99</v>
      </c>
      <c r="K6" s="171"/>
      <c r="L6" s="172"/>
      <c r="M6" s="173">
        <v>6</v>
      </c>
      <c r="N6" s="163">
        <f>N12*15%</f>
        <v>900000</v>
      </c>
      <c r="P6" s="294">
        <f t="shared" si="2"/>
        <v>33.23076923076923</v>
      </c>
      <c r="Q6" s="169">
        <v>24</v>
      </c>
    </row>
    <row r="7" spans="1:18" s="169" customFormat="1" ht="18" customHeight="1">
      <c r="A7" s="261" t="s">
        <v>44</v>
      </c>
      <c r="B7" s="281">
        <v>16.8</v>
      </c>
      <c r="C7" s="181">
        <v>24</v>
      </c>
      <c r="D7" s="161">
        <v>35</v>
      </c>
      <c r="E7" s="64"/>
      <c r="F7" s="160">
        <v>4</v>
      </c>
      <c r="G7" s="160">
        <v>5</v>
      </c>
      <c r="H7" s="163">
        <f t="shared" si="0"/>
        <v>770000</v>
      </c>
      <c r="I7" s="164">
        <f t="shared" si="1"/>
        <v>50000</v>
      </c>
      <c r="J7" s="170" t="s">
        <v>100</v>
      </c>
      <c r="K7" s="171"/>
      <c r="L7" s="172"/>
      <c r="M7" s="173">
        <v>5</v>
      </c>
      <c r="N7" s="163">
        <f>N12*12%</f>
        <v>720000</v>
      </c>
      <c r="O7" s="175"/>
      <c r="P7" s="294">
        <f t="shared" si="2"/>
        <v>34.61538461538461</v>
      </c>
      <c r="Q7" s="175">
        <v>25</v>
      </c>
      <c r="R7" s="176"/>
    </row>
    <row r="8" spans="1:17" s="169" customFormat="1" ht="18" customHeight="1">
      <c r="A8" s="261" t="s">
        <v>46</v>
      </c>
      <c r="B8" s="281">
        <v>14.6</v>
      </c>
      <c r="C8" s="160">
        <v>23</v>
      </c>
      <c r="D8" s="181">
        <v>35</v>
      </c>
      <c r="E8" s="64"/>
      <c r="F8" s="160">
        <v>5</v>
      </c>
      <c r="G8" s="160">
        <v>4</v>
      </c>
      <c r="H8" s="163">
        <f t="shared" si="0"/>
        <v>650000</v>
      </c>
      <c r="I8" s="164">
        <f t="shared" si="1"/>
        <v>50000</v>
      </c>
      <c r="J8" s="170" t="s">
        <v>101</v>
      </c>
      <c r="K8" s="171"/>
      <c r="L8" s="172"/>
      <c r="M8" s="173">
        <v>4</v>
      </c>
      <c r="N8" s="163">
        <f>N12*10%</f>
        <v>600000</v>
      </c>
      <c r="P8" s="294">
        <f t="shared" si="2"/>
        <v>34.61538461538461</v>
      </c>
      <c r="Q8" s="169">
        <v>25</v>
      </c>
    </row>
    <row r="9" spans="1:17" s="169" customFormat="1" ht="18" customHeight="1">
      <c r="A9" s="261" t="s">
        <v>36</v>
      </c>
      <c r="B9" s="281">
        <v>15.2</v>
      </c>
      <c r="C9" s="64">
        <v>23</v>
      </c>
      <c r="D9" s="161">
        <v>35</v>
      </c>
      <c r="E9" s="64"/>
      <c r="F9" s="178">
        <v>6</v>
      </c>
      <c r="G9" s="178">
        <v>3</v>
      </c>
      <c r="H9" s="163">
        <f t="shared" si="0"/>
        <v>530000</v>
      </c>
      <c r="I9" s="164">
        <f t="shared" si="1"/>
        <v>50000</v>
      </c>
      <c r="J9" s="170" t="s">
        <v>102</v>
      </c>
      <c r="K9" s="171"/>
      <c r="L9" s="172"/>
      <c r="M9" s="173">
        <v>3</v>
      </c>
      <c r="N9" s="163">
        <f>N12*8%</f>
        <v>480000</v>
      </c>
      <c r="P9" s="294">
        <f t="shared" si="2"/>
        <v>34.61538461538461</v>
      </c>
      <c r="Q9" s="169">
        <v>25</v>
      </c>
    </row>
    <row r="10" spans="1:17" s="169" customFormat="1" ht="18" customHeight="1">
      <c r="A10" s="261" t="s">
        <v>20</v>
      </c>
      <c r="B10" s="281">
        <v>14.8</v>
      </c>
      <c r="C10" s="160">
        <v>22</v>
      </c>
      <c r="D10" s="181">
        <v>30</v>
      </c>
      <c r="E10" s="178"/>
      <c r="F10" s="160">
        <v>7</v>
      </c>
      <c r="G10" s="160">
        <v>2</v>
      </c>
      <c r="H10" s="163">
        <f t="shared" si="0"/>
        <v>410000</v>
      </c>
      <c r="I10" s="164">
        <f t="shared" si="1"/>
        <v>50000</v>
      </c>
      <c r="J10" s="170" t="s">
        <v>103</v>
      </c>
      <c r="K10" s="171"/>
      <c r="L10" s="172"/>
      <c r="M10" s="173">
        <v>2</v>
      </c>
      <c r="N10" s="163">
        <f>N12*6%</f>
        <v>360000</v>
      </c>
      <c r="P10" s="294">
        <f t="shared" si="2"/>
        <v>30.46153846153846</v>
      </c>
      <c r="Q10" s="169">
        <v>22</v>
      </c>
    </row>
    <row r="11" spans="1:17" s="169" customFormat="1" ht="18" customHeight="1">
      <c r="A11" s="261" t="s">
        <v>40</v>
      </c>
      <c r="B11" s="281">
        <v>15.5</v>
      </c>
      <c r="C11" s="160">
        <v>22</v>
      </c>
      <c r="D11" s="161">
        <v>37</v>
      </c>
      <c r="E11" s="162"/>
      <c r="F11" s="160">
        <v>8</v>
      </c>
      <c r="G11" s="160">
        <v>1</v>
      </c>
      <c r="H11" s="163">
        <f t="shared" si="0"/>
        <v>290000</v>
      </c>
      <c r="I11" s="164">
        <f t="shared" si="1"/>
        <v>50000</v>
      </c>
      <c r="J11" s="170" t="s">
        <v>104</v>
      </c>
      <c r="K11" s="171"/>
      <c r="L11" s="172"/>
      <c r="M11" s="173">
        <v>1</v>
      </c>
      <c r="N11" s="163">
        <f>N12*4%</f>
        <v>240000</v>
      </c>
      <c r="P11" s="294">
        <f t="shared" si="2"/>
        <v>37.38461538461539</v>
      </c>
      <c r="Q11" s="169">
        <v>27</v>
      </c>
    </row>
    <row r="12" spans="1:17" s="169" customFormat="1" ht="18" customHeight="1">
      <c r="A12" s="261" t="s">
        <v>50</v>
      </c>
      <c r="B12" s="281">
        <v>6.8</v>
      </c>
      <c r="C12" s="160">
        <v>20</v>
      </c>
      <c r="D12" s="181">
        <v>33</v>
      </c>
      <c r="E12" s="64"/>
      <c r="F12" s="160"/>
      <c r="G12" s="160"/>
      <c r="H12" s="163">
        <f>I12</f>
        <v>50000</v>
      </c>
      <c r="I12" s="164">
        <f t="shared" si="1"/>
        <v>50000</v>
      </c>
      <c r="J12" s="179" t="s">
        <v>105</v>
      </c>
      <c r="K12" s="171"/>
      <c r="L12" s="172"/>
      <c r="M12" s="173"/>
      <c r="N12" s="180">
        <v>6000000</v>
      </c>
      <c r="P12" s="294">
        <f t="shared" si="2"/>
        <v>33.23076923076923</v>
      </c>
      <c r="Q12" s="169">
        <v>24</v>
      </c>
    </row>
    <row r="13" spans="1:17" s="169" customFormat="1" ht="18" customHeight="1">
      <c r="A13" s="261" t="s">
        <v>14</v>
      </c>
      <c r="B13" s="281">
        <v>18</v>
      </c>
      <c r="C13" s="160">
        <v>20</v>
      </c>
      <c r="D13" s="161">
        <v>36</v>
      </c>
      <c r="E13" s="162"/>
      <c r="F13" s="160"/>
      <c r="G13" s="160"/>
      <c r="H13" s="163">
        <f aca="true" t="shared" si="3" ref="H13:H27">I13</f>
        <v>50000</v>
      </c>
      <c r="I13" s="164">
        <f t="shared" si="1"/>
        <v>50000</v>
      </c>
      <c r="J13" s="182" t="s">
        <v>106</v>
      </c>
      <c r="K13" s="183"/>
      <c r="L13" s="184"/>
      <c r="M13" s="185">
        <v>1</v>
      </c>
      <c r="N13" s="186">
        <f>N10</f>
        <v>360000</v>
      </c>
      <c r="P13" s="294">
        <f t="shared" si="2"/>
        <v>36</v>
      </c>
      <c r="Q13" s="169">
        <v>26</v>
      </c>
    </row>
    <row r="14" spans="1:17" s="169" customFormat="1" ht="18" customHeight="1">
      <c r="A14" s="261" t="s">
        <v>12</v>
      </c>
      <c r="B14" s="281">
        <v>11.9</v>
      </c>
      <c r="C14" s="160">
        <v>19</v>
      </c>
      <c r="D14" s="161">
        <v>37</v>
      </c>
      <c r="E14" s="162">
        <v>10.23</v>
      </c>
      <c r="F14" s="160"/>
      <c r="G14" s="160"/>
      <c r="H14" s="163">
        <f t="shared" si="3"/>
        <v>410000</v>
      </c>
      <c r="I14" s="164">
        <f t="shared" si="1"/>
        <v>410000</v>
      </c>
      <c r="J14" s="187"/>
      <c r="K14" s="183"/>
      <c r="L14" s="183"/>
      <c r="M14" s="188"/>
      <c r="N14" s="189"/>
      <c r="P14" s="294">
        <f t="shared" si="2"/>
        <v>37.38461538461539</v>
      </c>
      <c r="Q14" s="169">
        <v>27</v>
      </c>
    </row>
    <row r="15" spans="1:17" s="169" customFormat="1" ht="18" customHeight="1">
      <c r="A15" s="261" t="s">
        <v>58</v>
      </c>
      <c r="B15" s="281">
        <v>20</v>
      </c>
      <c r="C15" s="161">
        <v>18</v>
      </c>
      <c r="D15" s="181">
        <v>36</v>
      </c>
      <c r="E15" s="64"/>
      <c r="F15" s="160"/>
      <c r="G15" s="160"/>
      <c r="H15" s="163">
        <f t="shared" si="3"/>
        <v>50000</v>
      </c>
      <c r="I15" s="164">
        <f t="shared" si="1"/>
        <v>50000</v>
      </c>
      <c r="J15" s="190"/>
      <c r="K15" s="191"/>
      <c r="L15" s="191"/>
      <c r="M15" s="192"/>
      <c r="N15" s="193"/>
      <c r="P15" s="294">
        <f t="shared" si="2"/>
        <v>36</v>
      </c>
      <c r="Q15" s="169">
        <v>26</v>
      </c>
    </row>
    <row r="16" spans="1:16" s="169" customFormat="1" ht="18" customHeight="1">
      <c r="A16" s="261"/>
      <c r="B16" s="281"/>
      <c r="C16" s="160"/>
      <c r="D16" s="161"/>
      <c r="E16" s="162"/>
      <c r="F16" s="64"/>
      <c r="G16" s="64"/>
      <c r="H16" s="163">
        <f t="shared" si="3"/>
        <v>0</v>
      </c>
      <c r="I16" s="164">
        <f t="shared" si="1"/>
        <v>0</v>
      </c>
      <c r="P16" s="294"/>
    </row>
    <row r="17" spans="1:16" s="169" customFormat="1" ht="18" customHeight="1">
      <c r="A17" s="261"/>
      <c r="B17" s="281"/>
      <c r="C17" s="161"/>
      <c r="D17" s="161"/>
      <c r="E17" s="162"/>
      <c r="F17" s="64"/>
      <c r="G17" s="64"/>
      <c r="H17" s="163">
        <f t="shared" si="3"/>
        <v>0</v>
      </c>
      <c r="I17" s="164">
        <f t="shared" si="1"/>
        <v>0</v>
      </c>
      <c r="J17" s="175"/>
      <c r="K17" s="175"/>
      <c r="L17" s="175"/>
      <c r="M17" s="176"/>
      <c r="P17" s="294"/>
    </row>
    <row r="18" spans="1:16" s="169" customFormat="1" ht="18" customHeight="1">
      <c r="A18" s="261"/>
      <c r="B18" s="281"/>
      <c r="C18" s="161"/>
      <c r="D18" s="161"/>
      <c r="E18" s="162"/>
      <c r="F18" s="160"/>
      <c r="G18" s="160"/>
      <c r="H18" s="163">
        <f t="shared" si="3"/>
        <v>0</v>
      </c>
      <c r="I18" s="164">
        <f t="shared" si="1"/>
        <v>0</v>
      </c>
      <c r="J18" s="176"/>
      <c r="K18" s="176"/>
      <c r="L18" s="176"/>
      <c r="M18" s="176"/>
      <c r="P18" s="294"/>
    </row>
    <row r="19" spans="1:16" s="169" customFormat="1" ht="18" customHeight="1">
      <c r="A19" s="261"/>
      <c r="B19" s="281"/>
      <c r="C19" s="161"/>
      <c r="D19" s="181"/>
      <c r="E19" s="162"/>
      <c r="F19" s="160"/>
      <c r="G19" s="160"/>
      <c r="H19" s="163">
        <f t="shared" si="3"/>
        <v>0</v>
      </c>
      <c r="I19" s="164">
        <f t="shared" si="1"/>
        <v>0</v>
      </c>
      <c r="J19" s="176"/>
      <c r="K19" s="176"/>
      <c r="L19" s="176"/>
      <c r="M19" s="176"/>
      <c r="P19" s="294"/>
    </row>
    <row r="20" spans="1:16" s="144" customFormat="1" ht="18" customHeight="1">
      <c r="A20" s="261"/>
      <c r="B20" s="281"/>
      <c r="C20" s="64"/>
      <c r="D20" s="161"/>
      <c r="E20" s="162"/>
      <c r="F20" s="64"/>
      <c r="G20" s="64"/>
      <c r="H20" s="163">
        <f t="shared" si="3"/>
        <v>0</v>
      </c>
      <c r="I20" s="164">
        <f t="shared" si="1"/>
        <v>0</v>
      </c>
      <c r="P20" s="294"/>
    </row>
    <row r="21" spans="1:16" s="144" customFormat="1" ht="18" customHeight="1">
      <c r="A21" s="261"/>
      <c r="B21" s="281"/>
      <c r="C21" s="160"/>
      <c r="D21" s="181"/>
      <c r="E21" s="162"/>
      <c r="F21" s="64"/>
      <c r="G21" s="64"/>
      <c r="H21" s="163">
        <f t="shared" si="3"/>
        <v>0</v>
      </c>
      <c r="I21" s="164">
        <f t="shared" si="1"/>
        <v>0</v>
      </c>
      <c r="P21" s="294"/>
    </row>
    <row r="22" spans="1:16" s="144" customFormat="1" ht="18" customHeight="1">
      <c r="A22" s="261"/>
      <c r="B22" s="281"/>
      <c r="C22" s="161"/>
      <c r="D22" s="161"/>
      <c r="E22" s="162"/>
      <c r="F22" s="64"/>
      <c r="G22" s="64"/>
      <c r="H22" s="163">
        <f t="shared" si="3"/>
        <v>0</v>
      </c>
      <c r="I22" s="164">
        <f t="shared" si="1"/>
        <v>0</v>
      </c>
      <c r="P22" s="294"/>
    </row>
    <row r="23" spans="1:16" s="144" customFormat="1" ht="18" customHeight="1">
      <c r="A23" s="261"/>
      <c r="B23" s="281"/>
      <c r="C23" s="161"/>
      <c r="D23" s="161"/>
      <c r="E23" s="64"/>
      <c r="F23" s="64"/>
      <c r="G23" s="64"/>
      <c r="H23" s="163">
        <f t="shared" si="3"/>
        <v>0</v>
      </c>
      <c r="I23" s="164">
        <f t="shared" si="1"/>
        <v>0</v>
      </c>
      <c r="P23" s="292"/>
    </row>
    <row r="24" spans="1:16" s="144" customFormat="1" ht="18" customHeight="1">
      <c r="A24" s="261"/>
      <c r="B24" s="281"/>
      <c r="C24" s="160"/>
      <c r="D24" s="161"/>
      <c r="E24" s="162"/>
      <c r="F24" s="64"/>
      <c r="G24" s="64"/>
      <c r="H24" s="163">
        <f t="shared" si="3"/>
        <v>0</v>
      </c>
      <c r="I24" s="164">
        <f t="shared" si="1"/>
        <v>0</v>
      </c>
      <c r="P24" s="292"/>
    </row>
    <row r="25" spans="1:16" s="144" customFormat="1" ht="18" customHeight="1">
      <c r="A25" s="261"/>
      <c r="B25" s="281"/>
      <c r="C25" s="160"/>
      <c r="D25" s="161"/>
      <c r="E25" s="64"/>
      <c r="F25" s="64"/>
      <c r="G25" s="64"/>
      <c r="H25" s="163">
        <f t="shared" si="3"/>
        <v>0</v>
      </c>
      <c r="I25" s="164">
        <f t="shared" si="1"/>
        <v>0</v>
      </c>
      <c r="P25" s="292"/>
    </row>
    <row r="26" spans="1:16" s="144" customFormat="1" ht="18" customHeight="1">
      <c r="A26" s="261"/>
      <c r="B26" s="281"/>
      <c r="C26" s="160"/>
      <c r="D26" s="181"/>
      <c r="E26" s="64"/>
      <c r="F26" s="160"/>
      <c r="G26" s="160"/>
      <c r="H26" s="163">
        <f t="shared" si="3"/>
        <v>0</v>
      </c>
      <c r="I26" s="164">
        <f t="shared" si="1"/>
        <v>0</v>
      </c>
      <c r="P26" s="292"/>
    </row>
    <row r="27" spans="1:16" s="144" customFormat="1" ht="18" customHeight="1">
      <c r="A27" s="261"/>
      <c r="B27" s="281"/>
      <c r="C27" s="160"/>
      <c r="D27" s="181"/>
      <c r="E27" s="162"/>
      <c r="F27" s="160"/>
      <c r="G27" s="160"/>
      <c r="H27" s="163">
        <f t="shared" si="3"/>
        <v>0</v>
      </c>
      <c r="I27" s="164">
        <f t="shared" si="1"/>
        <v>0</v>
      </c>
      <c r="P27" s="292"/>
    </row>
    <row r="28" spans="1:9" ht="24" customHeight="1" thickBot="1">
      <c r="A28" s="1"/>
      <c r="B28" s="3"/>
      <c r="C28" s="196"/>
      <c r="D28" s="198">
        <f>SUM(D4:D27)</f>
        <v>412</v>
      </c>
      <c r="E28" s="196"/>
      <c r="F28" s="3"/>
      <c r="G28" s="198">
        <f>SUM(G4:G27)</f>
        <v>39</v>
      </c>
      <c r="H28" s="198">
        <f>SUM(H4:H27)</f>
        <v>6960000</v>
      </c>
      <c r="I28" s="199"/>
    </row>
    <row r="29" ht="18" thickTop="1"/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8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30"/>
  <sheetViews>
    <sheetView zoomScale="150" zoomScaleNormal="150" workbookViewId="0" topLeftCell="A1">
      <selection activeCell="AK30" sqref="AK30"/>
    </sheetView>
  </sheetViews>
  <sheetFormatPr defaultColWidth="9.140625" defaultRowHeight="12.75"/>
  <cols>
    <col min="1" max="1" width="1.28515625" style="67" customWidth="1"/>
    <col min="2" max="2" width="25.140625" style="67" customWidth="1"/>
    <col min="3" max="3" width="10.28125" style="80" customWidth="1"/>
    <col min="4" max="38" width="3.8515625" style="80" customWidth="1"/>
    <col min="39" max="39" width="4.8515625" style="81" customWidth="1"/>
    <col min="40" max="40" width="5.421875" style="81" customWidth="1"/>
    <col min="41" max="41" width="4.421875" style="82" customWidth="1"/>
    <col min="42" max="16384" width="9.140625" style="67" customWidth="1"/>
  </cols>
  <sheetData>
    <row r="1" spans="3:41" ht="24.75" customHeight="1">
      <c r="C1" s="70" t="s">
        <v>65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83"/>
      <c r="AN1" s="83"/>
      <c r="AO1" s="84"/>
    </row>
    <row r="2" spans="2:41" s="72" customFormat="1" ht="66.75" customHeight="1">
      <c r="B2" s="73"/>
      <c r="C2" s="85" t="s">
        <v>61</v>
      </c>
      <c r="D2" s="314">
        <v>41923</v>
      </c>
      <c r="E2" s="314">
        <v>41914</v>
      </c>
      <c r="F2" s="314">
        <v>41907</v>
      </c>
      <c r="G2" s="314">
        <v>41900</v>
      </c>
      <c r="H2" s="314">
        <v>41893</v>
      </c>
      <c r="I2" s="378" t="s">
        <v>315</v>
      </c>
      <c r="J2" s="378" t="s">
        <v>314</v>
      </c>
      <c r="K2" s="314">
        <v>41886</v>
      </c>
      <c r="L2" s="314">
        <v>41879</v>
      </c>
      <c r="M2" s="314">
        <v>41872</v>
      </c>
      <c r="N2" s="314">
        <v>41865</v>
      </c>
      <c r="O2" s="314">
        <v>41858</v>
      </c>
      <c r="P2" s="314">
        <v>41851</v>
      </c>
      <c r="Q2" s="314">
        <v>41844</v>
      </c>
      <c r="R2" s="314">
        <v>41837</v>
      </c>
      <c r="S2" s="314">
        <v>41830</v>
      </c>
      <c r="T2" s="314">
        <v>41823</v>
      </c>
      <c r="U2" s="314">
        <v>41816</v>
      </c>
      <c r="V2" s="314" t="s">
        <v>286</v>
      </c>
      <c r="W2" s="314" t="s">
        <v>285</v>
      </c>
      <c r="X2" s="314">
        <v>41809</v>
      </c>
      <c r="Y2" s="314">
        <v>41802</v>
      </c>
      <c r="Z2" s="314">
        <v>41795</v>
      </c>
      <c r="AA2" s="314">
        <v>41788</v>
      </c>
      <c r="AB2" s="314">
        <v>41781</v>
      </c>
      <c r="AC2" s="314">
        <v>41774</v>
      </c>
      <c r="AD2" s="314">
        <v>41767</v>
      </c>
      <c r="AE2" s="314">
        <v>41760</v>
      </c>
      <c r="AF2" s="314">
        <v>41753</v>
      </c>
      <c r="AG2" s="314">
        <v>41746</v>
      </c>
      <c r="AH2" s="314">
        <v>41739</v>
      </c>
      <c r="AI2" s="314">
        <v>41732</v>
      </c>
      <c r="AJ2" s="314">
        <v>41725</v>
      </c>
      <c r="AK2" s="314">
        <v>41718</v>
      </c>
      <c r="AL2" s="314">
        <v>41711</v>
      </c>
      <c r="AM2" s="350" t="s">
        <v>66</v>
      </c>
      <c r="AN2" s="350" t="s">
        <v>67</v>
      </c>
      <c r="AO2" s="87" t="s">
        <v>68</v>
      </c>
    </row>
    <row r="3" spans="2:43" ht="15">
      <c r="B3" s="240" t="s">
        <v>31</v>
      </c>
      <c r="C3" s="241">
        <f aca="true" t="shared" si="0" ref="C3:C26">SUM(D3:AL3)</f>
        <v>128</v>
      </c>
      <c r="D3" s="230">
        <v>3</v>
      </c>
      <c r="E3" s="230">
        <v>8</v>
      </c>
      <c r="F3" s="230"/>
      <c r="G3" s="230">
        <v>5</v>
      </c>
      <c r="H3" s="230"/>
      <c r="I3" s="229" t="s">
        <v>334</v>
      </c>
      <c r="J3" s="230"/>
      <c r="K3" s="365" t="s">
        <v>311</v>
      </c>
      <c r="L3" s="229" t="s">
        <v>307</v>
      </c>
      <c r="M3" s="230"/>
      <c r="N3" s="230"/>
      <c r="O3" s="230">
        <v>10</v>
      </c>
      <c r="P3" s="230"/>
      <c r="Q3" s="230">
        <v>5</v>
      </c>
      <c r="R3" s="230">
        <v>10</v>
      </c>
      <c r="S3" s="230">
        <v>6</v>
      </c>
      <c r="T3" s="230"/>
      <c r="U3" s="230">
        <v>10</v>
      </c>
      <c r="V3" s="230">
        <v>10</v>
      </c>
      <c r="W3" s="230"/>
      <c r="X3" s="230"/>
      <c r="Y3" s="229" t="s">
        <v>307</v>
      </c>
      <c r="Z3" s="230">
        <v>4</v>
      </c>
      <c r="AA3" s="229" t="s">
        <v>334</v>
      </c>
      <c r="AB3" s="230">
        <v>8</v>
      </c>
      <c r="AC3" s="230">
        <v>5</v>
      </c>
      <c r="AD3" s="230">
        <v>10</v>
      </c>
      <c r="AE3" s="229" t="s">
        <v>307</v>
      </c>
      <c r="AF3" s="230">
        <v>4</v>
      </c>
      <c r="AG3" s="229" t="s">
        <v>311</v>
      </c>
      <c r="AH3" s="230">
        <v>10</v>
      </c>
      <c r="AI3" s="230">
        <v>8</v>
      </c>
      <c r="AJ3" s="231">
        <v>6</v>
      </c>
      <c r="AK3" s="230">
        <v>6</v>
      </c>
      <c r="AL3" s="230"/>
      <c r="AM3" s="233">
        <f aca="true" t="shared" si="1" ref="AM3:AM26">COUNTIF(D3:AL3,"&gt;0")</f>
        <v>18</v>
      </c>
      <c r="AN3" s="233">
        <f aca="true" t="shared" si="2" ref="AN3:AN26">SMALL(D3:AL3,1)</f>
        <v>3</v>
      </c>
      <c r="AO3" s="234">
        <f aca="true" t="shared" si="3" ref="AO3:AO26">COUNTIF(D3:AL3,"=10")</f>
        <v>6</v>
      </c>
      <c r="AQ3" s="96" t="str">
        <f>IF(AM3&gt;18,"OBS"," ")</f>
        <v> </v>
      </c>
    </row>
    <row r="4" spans="2:43" s="77" customFormat="1" ht="15">
      <c r="B4" s="242" t="s">
        <v>41</v>
      </c>
      <c r="C4" s="243">
        <f t="shared" si="0"/>
        <v>124</v>
      </c>
      <c r="D4" s="230">
        <v>6</v>
      </c>
      <c r="E4" s="230"/>
      <c r="F4" s="230"/>
      <c r="G4" s="229" t="s">
        <v>311</v>
      </c>
      <c r="H4" s="230">
        <v>5</v>
      </c>
      <c r="I4" s="230"/>
      <c r="J4" s="230">
        <v>6</v>
      </c>
      <c r="K4" s="231"/>
      <c r="L4" s="230">
        <v>6</v>
      </c>
      <c r="M4" s="229" t="s">
        <v>311</v>
      </c>
      <c r="N4" s="230">
        <v>8</v>
      </c>
      <c r="O4" s="230">
        <v>5</v>
      </c>
      <c r="P4" s="230">
        <v>4</v>
      </c>
      <c r="Q4" s="230"/>
      <c r="R4" s="230"/>
      <c r="S4" s="229" t="s">
        <v>334</v>
      </c>
      <c r="T4" s="229" t="s">
        <v>334</v>
      </c>
      <c r="U4" s="229" t="s">
        <v>307</v>
      </c>
      <c r="V4" s="230"/>
      <c r="W4" s="230">
        <v>4</v>
      </c>
      <c r="X4" s="230">
        <v>10</v>
      </c>
      <c r="Y4" s="230"/>
      <c r="Z4" s="230"/>
      <c r="AA4" s="230">
        <v>10</v>
      </c>
      <c r="AB4" s="230">
        <v>6</v>
      </c>
      <c r="AC4" s="230">
        <v>10</v>
      </c>
      <c r="AD4" s="230">
        <v>6</v>
      </c>
      <c r="AE4" s="229" t="s">
        <v>311</v>
      </c>
      <c r="AF4" s="230">
        <v>6</v>
      </c>
      <c r="AG4" s="230">
        <v>10</v>
      </c>
      <c r="AH4" s="230">
        <v>8</v>
      </c>
      <c r="AI4" s="230">
        <v>10</v>
      </c>
      <c r="AJ4" s="365" t="s">
        <v>307</v>
      </c>
      <c r="AK4" s="229" t="s">
        <v>334</v>
      </c>
      <c r="AL4" s="230">
        <v>4</v>
      </c>
      <c r="AM4" s="233">
        <f t="shared" si="1"/>
        <v>18</v>
      </c>
      <c r="AN4" s="233">
        <f t="shared" si="2"/>
        <v>4</v>
      </c>
      <c r="AO4" s="234">
        <f t="shared" si="3"/>
        <v>5</v>
      </c>
      <c r="AQ4" s="96" t="str">
        <f aca="true" t="shared" si="4" ref="AQ4:AQ26">IF(AM4&gt;18,"OBS"," ")</f>
        <v> </v>
      </c>
    </row>
    <row r="5" spans="2:43" ht="15">
      <c r="B5" s="244" t="s">
        <v>33</v>
      </c>
      <c r="C5" s="245">
        <f t="shared" si="0"/>
        <v>115</v>
      </c>
      <c r="D5" s="230">
        <v>10</v>
      </c>
      <c r="E5" s="230"/>
      <c r="F5" s="230">
        <v>6</v>
      </c>
      <c r="G5" s="230"/>
      <c r="H5" s="230"/>
      <c r="I5" s="230">
        <v>4</v>
      </c>
      <c r="J5" s="230">
        <v>10</v>
      </c>
      <c r="K5" s="231"/>
      <c r="L5" s="230"/>
      <c r="M5" s="230"/>
      <c r="N5" s="229" t="s">
        <v>307</v>
      </c>
      <c r="O5" s="230">
        <v>2</v>
      </c>
      <c r="P5" s="230"/>
      <c r="Q5" s="230">
        <v>10</v>
      </c>
      <c r="R5" s="230">
        <v>2</v>
      </c>
      <c r="S5" s="230">
        <v>5</v>
      </c>
      <c r="T5" s="230"/>
      <c r="U5" s="230">
        <v>6</v>
      </c>
      <c r="V5" s="230">
        <v>2</v>
      </c>
      <c r="W5" s="230"/>
      <c r="X5" s="230">
        <v>5</v>
      </c>
      <c r="Y5" s="230">
        <v>8</v>
      </c>
      <c r="Z5" s="230">
        <v>8</v>
      </c>
      <c r="AA5" s="230">
        <v>6</v>
      </c>
      <c r="AB5" s="229" t="s">
        <v>307</v>
      </c>
      <c r="AC5" s="230"/>
      <c r="AD5" s="229" t="s">
        <v>351</v>
      </c>
      <c r="AE5" s="230"/>
      <c r="AF5" s="230">
        <v>8</v>
      </c>
      <c r="AG5" s="230">
        <v>8</v>
      </c>
      <c r="AH5" s="229" t="s">
        <v>311</v>
      </c>
      <c r="AI5" s="230">
        <v>5</v>
      </c>
      <c r="AJ5" s="231"/>
      <c r="AK5" s="230"/>
      <c r="AL5" s="230">
        <v>10</v>
      </c>
      <c r="AM5" s="233">
        <f t="shared" si="1"/>
        <v>18</v>
      </c>
      <c r="AN5" s="233">
        <f t="shared" si="2"/>
        <v>2</v>
      </c>
      <c r="AO5" s="234">
        <f t="shared" si="3"/>
        <v>4</v>
      </c>
      <c r="AQ5" s="96" t="str">
        <f t="shared" si="4"/>
        <v> </v>
      </c>
    </row>
    <row r="6" spans="2:43" ht="15">
      <c r="B6" s="228" t="s">
        <v>37</v>
      </c>
      <c r="C6" s="236">
        <f t="shared" si="0"/>
        <v>103</v>
      </c>
      <c r="D6" s="230"/>
      <c r="E6" s="230">
        <v>3</v>
      </c>
      <c r="F6" s="230"/>
      <c r="G6" s="230"/>
      <c r="H6" s="230">
        <v>2</v>
      </c>
      <c r="I6" s="230"/>
      <c r="J6" s="230">
        <v>10</v>
      </c>
      <c r="K6" s="231">
        <v>6</v>
      </c>
      <c r="L6" s="230"/>
      <c r="M6" s="230">
        <v>4</v>
      </c>
      <c r="N6" s="230"/>
      <c r="O6" s="230"/>
      <c r="P6" s="230">
        <v>5</v>
      </c>
      <c r="Q6" s="230">
        <v>6</v>
      </c>
      <c r="R6" s="230">
        <v>8</v>
      </c>
      <c r="S6" s="230"/>
      <c r="T6" s="230">
        <v>10</v>
      </c>
      <c r="U6" s="230"/>
      <c r="V6" s="230">
        <v>1</v>
      </c>
      <c r="W6" s="230">
        <v>8</v>
      </c>
      <c r="X6" s="230">
        <v>8</v>
      </c>
      <c r="Y6" s="230">
        <v>4</v>
      </c>
      <c r="Z6" s="230">
        <v>10</v>
      </c>
      <c r="AA6" s="230"/>
      <c r="AB6" s="230"/>
      <c r="AC6" s="230">
        <v>6</v>
      </c>
      <c r="AD6" s="230">
        <v>1</v>
      </c>
      <c r="AE6" s="230"/>
      <c r="AF6" s="230"/>
      <c r="AG6" s="230"/>
      <c r="AH6" s="230"/>
      <c r="AI6" s="230"/>
      <c r="AJ6" s="231">
        <v>3</v>
      </c>
      <c r="AK6" s="230"/>
      <c r="AL6" s="230">
        <v>8</v>
      </c>
      <c r="AM6" s="233">
        <f t="shared" si="1"/>
        <v>18</v>
      </c>
      <c r="AN6" s="233">
        <f t="shared" si="2"/>
        <v>1</v>
      </c>
      <c r="AO6" s="234">
        <f t="shared" si="3"/>
        <v>3</v>
      </c>
      <c r="AQ6" s="96" t="str">
        <f t="shared" si="4"/>
        <v> </v>
      </c>
    </row>
    <row r="7" spans="2:43" ht="15">
      <c r="B7" s="65" t="s">
        <v>51</v>
      </c>
      <c r="C7" s="239">
        <f t="shared" si="0"/>
        <v>94</v>
      </c>
      <c r="D7" s="230">
        <v>5</v>
      </c>
      <c r="E7" s="230"/>
      <c r="F7" s="230"/>
      <c r="G7" s="230">
        <v>8</v>
      </c>
      <c r="H7" s="230"/>
      <c r="I7" s="230">
        <v>10</v>
      </c>
      <c r="J7" s="230"/>
      <c r="K7" s="231">
        <v>8</v>
      </c>
      <c r="L7" s="230">
        <v>2</v>
      </c>
      <c r="M7" s="230">
        <v>6</v>
      </c>
      <c r="N7" s="230"/>
      <c r="O7" s="230"/>
      <c r="P7" s="230">
        <v>10</v>
      </c>
      <c r="Q7" s="230">
        <v>4</v>
      </c>
      <c r="R7" s="230"/>
      <c r="S7" s="230"/>
      <c r="T7" s="230">
        <v>6</v>
      </c>
      <c r="U7" s="230">
        <v>5</v>
      </c>
      <c r="V7" s="230">
        <v>4</v>
      </c>
      <c r="W7" s="230"/>
      <c r="X7" s="230">
        <v>3</v>
      </c>
      <c r="Y7" s="230"/>
      <c r="Z7" s="230">
        <v>6</v>
      </c>
      <c r="AA7" s="230">
        <v>5</v>
      </c>
      <c r="AB7" s="230"/>
      <c r="AC7" s="230"/>
      <c r="AD7" s="230"/>
      <c r="AE7" s="230">
        <v>3</v>
      </c>
      <c r="AF7" s="230"/>
      <c r="AG7" s="230"/>
      <c r="AH7" s="230"/>
      <c r="AI7" s="230">
        <v>1</v>
      </c>
      <c r="AJ7" s="231"/>
      <c r="AK7" s="230">
        <v>8</v>
      </c>
      <c r="AL7" s="230"/>
      <c r="AM7" s="233">
        <f t="shared" si="1"/>
        <v>17</v>
      </c>
      <c r="AN7" s="233">
        <f t="shared" si="2"/>
        <v>1</v>
      </c>
      <c r="AO7" s="234">
        <f t="shared" si="3"/>
        <v>2</v>
      </c>
      <c r="AQ7" s="96" t="str">
        <f t="shared" si="4"/>
        <v> </v>
      </c>
    </row>
    <row r="8" spans="2:43" ht="15">
      <c r="B8" s="65" t="s">
        <v>47</v>
      </c>
      <c r="C8" s="239">
        <f t="shared" si="0"/>
        <v>66</v>
      </c>
      <c r="D8" s="230"/>
      <c r="E8" s="230"/>
      <c r="F8" s="230"/>
      <c r="G8" s="230"/>
      <c r="H8" s="230">
        <v>6</v>
      </c>
      <c r="I8" s="230"/>
      <c r="J8" s="230">
        <v>6</v>
      </c>
      <c r="K8" s="231">
        <v>1</v>
      </c>
      <c r="L8" s="230">
        <v>10</v>
      </c>
      <c r="M8" s="230">
        <v>2</v>
      </c>
      <c r="N8" s="230">
        <v>10</v>
      </c>
      <c r="O8" s="230">
        <v>3</v>
      </c>
      <c r="P8" s="230"/>
      <c r="Q8" s="230"/>
      <c r="R8" s="230"/>
      <c r="S8" s="230"/>
      <c r="T8" s="230">
        <v>2</v>
      </c>
      <c r="U8" s="230"/>
      <c r="V8" s="230"/>
      <c r="W8" s="230"/>
      <c r="X8" s="230"/>
      <c r="Y8" s="232"/>
      <c r="Z8" s="230"/>
      <c r="AA8" s="230"/>
      <c r="AB8" s="230"/>
      <c r="AC8" s="230"/>
      <c r="AD8" s="230">
        <v>3</v>
      </c>
      <c r="AE8" s="230"/>
      <c r="AF8" s="230">
        <v>10</v>
      </c>
      <c r="AG8" s="230"/>
      <c r="AH8" s="230">
        <v>4</v>
      </c>
      <c r="AI8" s="230"/>
      <c r="AJ8" s="231">
        <v>4</v>
      </c>
      <c r="AK8" s="230">
        <v>5</v>
      </c>
      <c r="AL8" s="230"/>
      <c r="AM8" s="233">
        <f t="shared" si="1"/>
        <v>13</v>
      </c>
      <c r="AN8" s="233">
        <f t="shared" si="2"/>
        <v>1</v>
      </c>
      <c r="AO8" s="234">
        <f t="shared" si="3"/>
        <v>3</v>
      </c>
      <c r="AQ8" s="96" t="str">
        <f t="shared" si="4"/>
        <v> </v>
      </c>
    </row>
    <row r="9" spans="2:43" ht="15">
      <c r="B9" s="65" t="s">
        <v>45</v>
      </c>
      <c r="C9" s="239">
        <f t="shared" si="0"/>
        <v>65</v>
      </c>
      <c r="D9" s="230">
        <v>4</v>
      </c>
      <c r="E9" s="230">
        <v>1</v>
      </c>
      <c r="F9" s="230"/>
      <c r="G9" s="230"/>
      <c r="H9" s="230">
        <v>3</v>
      </c>
      <c r="I9" s="230">
        <v>5</v>
      </c>
      <c r="J9" s="230">
        <v>4</v>
      </c>
      <c r="K9" s="231"/>
      <c r="L9" s="230">
        <v>5</v>
      </c>
      <c r="M9" s="230"/>
      <c r="N9" s="230">
        <v>5</v>
      </c>
      <c r="O9" s="230"/>
      <c r="P9" s="230">
        <v>8</v>
      </c>
      <c r="Q9" s="230">
        <v>3</v>
      </c>
      <c r="R9" s="230">
        <v>3</v>
      </c>
      <c r="S9" s="230">
        <v>8</v>
      </c>
      <c r="T9" s="230">
        <v>1</v>
      </c>
      <c r="U9" s="230"/>
      <c r="V9" s="230"/>
      <c r="W9" s="230"/>
      <c r="X9" s="230">
        <v>4</v>
      </c>
      <c r="Y9" s="230"/>
      <c r="Z9" s="230">
        <v>1</v>
      </c>
      <c r="AA9" s="230"/>
      <c r="AB9" s="230"/>
      <c r="AC9" s="230">
        <v>2</v>
      </c>
      <c r="AD9" s="230"/>
      <c r="AE9" s="230"/>
      <c r="AF9" s="230"/>
      <c r="AG9" s="230"/>
      <c r="AH9" s="230"/>
      <c r="AI9" s="230"/>
      <c r="AJ9" s="231">
        <v>5</v>
      </c>
      <c r="AK9" s="230"/>
      <c r="AL9" s="230">
        <v>3</v>
      </c>
      <c r="AM9" s="233">
        <f t="shared" si="1"/>
        <v>17</v>
      </c>
      <c r="AN9" s="233">
        <f t="shared" si="2"/>
        <v>1</v>
      </c>
      <c r="AO9" s="234">
        <f t="shared" si="3"/>
        <v>0</v>
      </c>
      <c r="AQ9" s="96" t="str">
        <f t="shared" si="4"/>
        <v> </v>
      </c>
    </row>
    <row r="10" spans="2:43" ht="15">
      <c r="B10" s="65" t="s">
        <v>13</v>
      </c>
      <c r="C10" s="239">
        <f t="shared" si="0"/>
        <v>57</v>
      </c>
      <c r="D10" s="414">
        <v>2</v>
      </c>
      <c r="E10" s="230">
        <v>4</v>
      </c>
      <c r="F10" s="230">
        <v>8</v>
      </c>
      <c r="G10" s="230"/>
      <c r="H10" s="230"/>
      <c r="I10" s="230">
        <v>1</v>
      </c>
      <c r="J10" s="230"/>
      <c r="K10" s="231"/>
      <c r="L10" s="230"/>
      <c r="M10" s="230">
        <v>10</v>
      </c>
      <c r="N10" s="230">
        <v>3</v>
      </c>
      <c r="O10" s="230"/>
      <c r="P10" s="230"/>
      <c r="Q10" s="230"/>
      <c r="R10" s="230"/>
      <c r="S10" s="230"/>
      <c r="T10" s="230">
        <v>4</v>
      </c>
      <c r="U10" s="230"/>
      <c r="V10" s="230"/>
      <c r="W10" s="230">
        <v>8</v>
      </c>
      <c r="X10" s="230">
        <v>1</v>
      </c>
      <c r="Y10" s="230"/>
      <c r="Z10" s="232"/>
      <c r="AA10" s="230"/>
      <c r="AB10" s="230">
        <v>5</v>
      </c>
      <c r="AC10" s="230"/>
      <c r="AD10" s="230"/>
      <c r="AE10" s="232"/>
      <c r="AF10" s="230">
        <v>1</v>
      </c>
      <c r="AG10" s="230"/>
      <c r="AH10" s="230"/>
      <c r="AI10" s="230"/>
      <c r="AJ10" s="231"/>
      <c r="AK10" s="230">
        <v>4</v>
      </c>
      <c r="AL10" s="230">
        <v>6</v>
      </c>
      <c r="AM10" s="233">
        <f t="shared" si="1"/>
        <v>13</v>
      </c>
      <c r="AN10" s="233">
        <f t="shared" si="2"/>
        <v>1</v>
      </c>
      <c r="AO10" s="234">
        <f t="shared" si="3"/>
        <v>1</v>
      </c>
      <c r="AQ10" s="96" t="str">
        <f t="shared" si="4"/>
        <v> </v>
      </c>
    </row>
    <row r="11" spans="2:43" ht="15">
      <c r="B11" s="65" t="s">
        <v>21</v>
      </c>
      <c r="C11" s="239">
        <f t="shared" si="0"/>
        <v>54</v>
      </c>
      <c r="D11" s="230"/>
      <c r="E11" s="230"/>
      <c r="F11" s="230">
        <v>1</v>
      </c>
      <c r="G11" s="230"/>
      <c r="H11" s="230">
        <v>1</v>
      </c>
      <c r="I11" s="230">
        <v>8</v>
      </c>
      <c r="J11" s="230">
        <v>2</v>
      </c>
      <c r="K11" s="231">
        <v>5</v>
      </c>
      <c r="L11" s="230"/>
      <c r="M11" s="230"/>
      <c r="N11" s="230"/>
      <c r="O11" s="230">
        <v>1</v>
      </c>
      <c r="P11" s="230"/>
      <c r="Q11" s="230"/>
      <c r="R11" s="230">
        <v>1</v>
      </c>
      <c r="S11" s="230">
        <v>10</v>
      </c>
      <c r="T11" s="230"/>
      <c r="U11" s="230">
        <v>3</v>
      </c>
      <c r="V11" s="230"/>
      <c r="W11" s="230"/>
      <c r="X11" s="230"/>
      <c r="Y11" s="230">
        <v>6</v>
      </c>
      <c r="Z11" s="230"/>
      <c r="AA11" s="230"/>
      <c r="AB11" s="230"/>
      <c r="AC11" s="230"/>
      <c r="AD11" s="230">
        <v>8</v>
      </c>
      <c r="AE11" s="230"/>
      <c r="AF11" s="230"/>
      <c r="AG11" s="230">
        <v>4</v>
      </c>
      <c r="AH11" s="230"/>
      <c r="AI11" s="230">
        <v>2</v>
      </c>
      <c r="AJ11" s="231">
        <v>2</v>
      </c>
      <c r="AK11" s="230"/>
      <c r="AL11" s="230"/>
      <c r="AM11" s="233">
        <f t="shared" si="1"/>
        <v>14</v>
      </c>
      <c r="AN11" s="233">
        <f t="shared" si="2"/>
        <v>1</v>
      </c>
      <c r="AO11" s="234">
        <f t="shared" si="3"/>
        <v>1</v>
      </c>
      <c r="AQ11" s="96" t="str">
        <f t="shared" si="4"/>
        <v> </v>
      </c>
    </row>
    <row r="12" spans="1:43" ht="15">
      <c r="A12" s="78"/>
      <c r="B12" s="65" t="s">
        <v>57</v>
      </c>
      <c r="C12" s="239">
        <f t="shared" si="0"/>
        <v>52</v>
      </c>
      <c r="D12" s="230"/>
      <c r="E12" s="230">
        <v>10</v>
      </c>
      <c r="F12" s="230"/>
      <c r="G12" s="230"/>
      <c r="H12" s="230">
        <v>10</v>
      </c>
      <c r="I12" s="230"/>
      <c r="J12" s="230"/>
      <c r="K12" s="231"/>
      <c r="L12" s="230"/>
      <c r="M12" s="230"/>
      <c r="N12" s="230"/>
      <c r="O12" s="230">
        <v>6</v>
      </c>
      <c r="P12" s="230"/>
      <c r="Q12" s="230"/>
      <c r="R12" s="230"/>
      <c r="S12" s="230"/>
      <c r="T12" s="230"/>
      <c r="U12" s="230"/>
      <c r="V12" s="230"/>
      <c r="W12" s="230"/>
      <c r="X12" s="230"/>
      <c r="Y12" s="230">
        <v>2</v>
      </c>
      <c r="Z12" s="230"/>
      <c r="AA12" s="230"/>
      <c r="AB12" s="230"/>
      <c r="AC12" s="230">
        <v>8</v>
      </c>
      <c r="AD12" s="230"/>
      <c r="AE12" s="230">
        <v>8</v>
      </c>
      <c r="AF12" s="230"/>
      <c r="AG12" s="230"/>
      <c r="AH12" s="230"/>
      <c r="AI12" s="230"/>
      <c r="AJ12" s="231">
        <v>8</v>
      </c>
      <c r="AK12" s="230"/>
      <c r="AL12" s="230"/>
      <c r="AM12" s="233">
        <f t="shared" si="1"/>
        <v>7</v>
      </c>
      <c r="AN12" s="233">
        <f t="shared" si="2"/>
        <v>2</v>
      </c>
      <c r="AO12" s="234">
        <f t="shared" si="3"/>
        <v>2</v>
      </c>
      <c r="AQ12" s="96" t="str">
        <f t="shared" si="4"/>
        <v> </v>
      </c>
    </row>
    <row r="13" spans="1:43" s="78" customFormat="1" ht="15">
      <c r="A13" s="67"/>
      <c r="B13" s="65" t="s">
        <v>53</v>
      </c>
      <c r="C13" s="239">
        <f t="shared" si="0"/>
        <v>49</v>
      </c>
      <c r="D13" s="230"/>
      <c r="E13" s="230">
        <v>5</v>
      </c>
      <c r="F13" s="230"/>
      <c r="G13" s="230"/>
      <c r="H13" s="230">
        <v>4</v>
      </c>
      <c r="I13" s="230"/>
      <c r="J13" s="230"/>
      <c r="K13" s="231"/>
      <c r="L13" s="230"/>
      <c r="M13" s="230"/>
      <c r="N13" s="230"/>
      <c r="O13" s="230"/>
      <c r="P13" s="230">
        <v>6</v>
      </c>
      <c r="Q13" s="230"/>
      <c r="R13" s="230"/>
      <c r="S13" s="230"/>
      <c r="T13" s="230"/>
      <c r="U13" s="230">
        <v>4</v>
      </c>
      <c r="V13" s="230">
        <v>8</v>
      </c>
      <c r="W13" s="230"/>
      <c r="X13" s="230">
        <v>6</v>
      </c>
      <c r="Y13" s="230"/>
      <c r="Z13" s="230"/>
      <c r="AA13" s="230"/>
      <c r="AB13" s="230"/>
      <c r="AC13" s="230"/>
      <c r="AD13" s="230"/>
      <c r="AE13" s="230"/>
      <c r="AF13" s="230"/>
      <c r="AG13" s="230"/>
      <c r="AH13" s="230">
        <v>6</v>
      </c>
      <c r="AI13" s="230"/>
      <c r="AJ13" s="231"/>
      <c r="AK13" s="230">
        <v>10</v>
      </c>
      <c r="AL13" s="230"/>
      <c r="AM13" s="233">
        <f t="shared" si="1"/>
        <v>8</v>
      </c>
      <c r="AN13" s="233">
        <f t="shared" si="2"/>
        <v>4</v>
      </c>
      <c r="AO13" s="234">
        <f t="shared" si="3"/>
        <v>1</v>
      </c>
      <c r="AQ13" s="96" t="str">
        <f t="shared" si="4"/>
        <v> </v>
      </c>
    </row>
    <row r="14" spans="2:43" ht="15">
      <c r="B14" s="65" t="s">
        <v>15</v>
      </c>
      <c r="C14" s="239">
        <f t="shared" si="0"/>
        <v>48</v>
      </c>
      <c r="D14" s="230"/>
      <c r="E14" s="230"/>
      <c r="F14" s="230">
        <v>10</v>
      </c>
      <c r="G14" s="230">
        <v>10</v>
      </c>
      <c r="H14" s="230"/>
      <c r="I14" s="230"/>
      <c r="J14" s="230"/>
      <c r="K14" s="231"/>
      <c r="L14" s="230">
        <v>8</v>
      </c>
      <c r="M14" s="230">
        <v>10</v>
      </c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>
        <v>5</v>
      </c>
      <c r="Z14" s="230"/>
      <c r="AA14" s="230"/>
      <c r="AB14" s="230">
        <v>3</v>
      </c>
      <c r="AC14" s="230"/>
      <c r="AD14" s="230"/>
      <c r="AE14" s="230"/>
      <c r="AF14" s="230"/>
      <c r="AG14" s="230"/>
      <c r="AH14" s="230"/>
      <c r="AI14" s="230"/>
      <c r="AJ14" s="231"/>
      <c r="AK14" s="230">
        <v>2</v>
      </c>
      <c r="AL14" s="230"/>
      <c r="AM14" s="233">
        <f t="shared" si="1"/>
        <v>7</v>
      </c>
      <c r="AN14" s="233">
        <f t="shared" si="2"/>
        <v>2</v>
      </c>
      <c r="AO14" s="234">
        <f t="shared" si="3"/>
        <v>3</v>
      </c>
      <c r="AQ14" s="96" t="str">
        <f t="shared" si="4"/>
        <v> </v>
      </c>
    </row>
    <row r="15" spans="1:43" s="78" customFormat="1" ht="15">
      <c r="A15" s="67"/>
      <c r="B15" s="65" t="s">
        <v>55</v>
      </c>
      <c r="C15" s="239">
        <f t="shared" si="0"/>
        <v>47</v>
      </c>
      <c r="D15" s="230"/>
      <c r="E15" s="230"/>
      <c r="F15" s="230"/>
      <c r="G15" s="230"/>
      <c r="H15" s="230">
        <v>8</v>
      </c>
      <c r="I15" s="230"/>
      <c r="J15" s="230"/>
      <c r="K15" s="231"/>
      <c r="L15" s="230">
        <v>4</v>
      </c>
      <c r="M15" s="230">
        <v>6</v>
      </c>
      <c r="N15" s="230">
        <v>6</v>
      </c>
      <c r="O15" s="230"/>
      <c r="P15" s="230"/>
      <c r="Q15" s="230">
        <v>2</v>
      </c>
      <c r="R15" s="230"/>
      <c r="S15" s="230">
        <v>1</v>
      </c>
      <c r="T15" s="230"/>
      <c r="U15" s="230">
        <v>2</v>
      </c>
      <c r="V15" s="230"/>
      <c r="W15" s="230"/>
      <c r="X15" s="230"/>
      <c r="Y15" s="230">
        <v>10</v>
      </c>
      <c r="Z15" s="230"/>
      <c r="AA15" s="230"/>
      <c r="AB15" s="230"/>
      <c r="AC15" s="230"/>
      <c r="AD15" s="230"/>
      <c r="AE15" s="230"/>
      <c r="AF15" s="230"/>
      <c r="AG15" s="230">
        <v>3</v>
      </c>
      <c r="AH15" s="230">
        <v>5</v>
      </c>
      <c r="AI15" s="230"/>
      <c r="AJ15" s="231"/>
      <c r="AK15" s="230"/>
      <c r="AL15" s="230"/>
      <c r="AM15" s="233">
        <f t="shared" si="1"/>
        <v>10</v>
      </c>
      <c r="AN15" s="233">
        <f t="shared" si="2"/>
        <v>1</v>
      </c>
      <c r="AO15" s="234">
        <f t="shared" si="3"/>
        <v>1</v>
      </c>
      <c r="AQ15" s="96" t="str">
        <f t="shared" si="4"/>
        <v> </v>
      </c>
    </row>
    <row r="16" spans="2:43" ht="15">
      <c r="B16" s="65" t="s">
        <v>35</v>
      </c>
      <c r="C16" s="239">
        <f t="shared" si="0"/>
        <v>47</v>
      </c>
      <c r="D16" s="237">
        <v>1</v>
      </c>
      <c r="E16" s="230"/>
      <c r="F16" s="229"/>
      <c r="G16" s="230"/>
      <c r="H16" s="230"/>
      <c r="I16" s="230"/>
      <c r="J16" s="230"/>
      <c r="K16" s="231">
        <v>10</v>
      </c>
      <c r="L16" s="230"/>
      <c r="M16" s="230"/>
      <c r="N16" s="230"/>
      <c r="O16" s="230"/>
      <c r="P16" s="230"/>
      <c r="Q16" s="235"/>
      <c r="R16" s="230"/>
      <c r="S16" s="232"/>
      <c r="T16" s="230"/>
      <c r="U16" s="230"/>
      <c r="V16" s="230"/>
      <c r="W16" s="230"/>
      <c r="X16" s="230"/>
      <c r="Y16" s="230"/>
      <c r="Z16" s="230">
        <v>2</v>
      </c>
      <c r="AA16" s="230">
        <v>8</v>
      </c>
      <c r="AB16" s="230">
        <v>10</v>
      </c>
      <c r="AC16" s="230">
        <v>4</v>
      </c>
      <c r="AD16" s="230">
        <v>2</v>
      </c>
      <c r="AE16" s="230">
        <v>5</v>
      </c>
      <c r="AF16" s="230"/>
      <c r="AG16" s="230"/>
      <c r="AH16" s="230"/>
      <c r="AI16" s="230"/>
      <c r="AJ16" s="238"/>
      <c r="AK16" s="230"/>
      <c r="AL16" s="230">
        <v>5</v>
      </c>
      <c r="AM16" s="233">
        <f t="shared" si="1"/>
        <v>9</v>
      </c>
      <c r="AN16" s="233">
        <f t="shared" si="2"/>
        <v>1</v>
      </c>
      <c r="AO16" s="234">
        <f t="shared" si="3"/>
        <v>2</v>
      </c>
      <c r="AQ16" s="96" t="str">
        <f t="shared" si="4"/>
        <v> </v>
      </c>
    </row>
    <row r="17" spans="2:43" ht="15">
      <c r="B17" s="65" t="s">
        <v>49</v>
      </c>
      <c r="C17" s="239">
        <f t="shared" si="0"/>
        <v>46</v>
      </c>
      <c r="D17" s="230"/>
      <c r="E17" s="230">
        <v>2</v>
      </c>
      <c r="F17" s="230"/>
      <c r="G17" s="230"/>
      <c r="H17" s="230"/>
      <c r="I17" s="230"/>
      <c r="J17" s="230"/>
      <c r="K17" s="231">
        <v>4</v>
      </c>
      <c r="L17" s="230"/>
      <c r="M17" s="230"/>
      <c r="N17" s="230"/>
      <c r="O17" s="230">
        <v>8</v>
      </c>
      <c r="P17" s="230"/>
      <c r="Q17" s="230"/>
      <c r="R17" s="230"/>
      <c r="S17" s="230"/>
      <c r="T17" s="230"/>
      <c r="U17" s="230">
        <v>8</v>
      </c>
      <c r="V17" s="230">
        <v>5</v>
      </c>
      <c r="W17" s="230">
        <v>4</v>
      </c>
      <c r="X17" s="230"/>
      <c r="Y17" s="230"/>
      <c r="Z17" s="230"/>
      <c r="AA17" s="230"/>
      <c r="AB17" s="230"/>
      <c r="AC17" s="230"/>
      <c r="AD17" s="230"/>
      <c r="AE17" s="230"/>
      <c r="AF17" s="230">
        <v>5</v>
      </c>
      <c r="AG17" s="230">
        <v>6</v>
      </c>
      <c r="AH17" s="230"/>
      <c r="AI17" s="230">
        <v>4</v>
      </c>
      <c r="AJ17" s="231"/>
      <c r="AK17" s="230"/>
      <c r="AL17" s="230"/>
      <c r="AM17" s="233">
        <f t="shared" si="1"/>
        <v>9</v>
      </c>
      <c r="AN17" s="233">
        <f t="shared" si="2"/>
        <v>2</v>
      </c>
      <c r="AO17" s="234">
        <f t="shared" si="3"/>
        <v>0</v>
      </c>
      <c r="AQ17" s="96" t="str">
        <f t="shared" si="4"/>
        <v> </v>
      </c>
    </row>
    <row r="18" spans="2:43" ht="15">
      <c r="B18" s="65" t="s">
        <v>17</v>
      </c>
      <c r="C18" s="239">
        <f t="shared" si="0"/>
        <v>42</v>
      </c>
      <c r="D18" s="230"/>
      <c r="E18" s="230"/>
      <c r="F18" s="230">
        <v>2</v>
      </c>
      <c r="G18" s="230">
        <v>6</v>
      </c>
      <c r="H18" s="230"/>
      <c r="I18" s="230"/>
      <c r="J18" s="230">
        <v>2</v>
      </c>
      <c r="K18" s="231">
        <v>3</v>
      </c>
      <c r="L18" s="230"/>
      <c r="M18" s="230"/>
      <c r="N18" s="230">
        <v>2</v>
      </c>
      <c r="O18" s="230">
        <v>4</v>
      </c>
      <c r="P18" s="230">
        <v>1</v>
      </c>
      <c r="Q18" s="230"/>
      <c r="R18" s="230"/>
      <c r="S18" s="230"/>
      <c r="T18" s="230">
        <v>8</v>
      </c>
      <c r="U18" s="230"/>
      <c r="V18" s="230"/>
      <c r="W18" s="230">
        <v>4</v>
      </c>
      <c r="X18" s="230"/>
      <c r="Y18" s="230"/>
      <c r="Z18" s="230">
        <v>5</v>
      </c>
      <c r="AA18" s="230"/>
      <c r="AB18" s="230">
        <v>2</v>
      </c>
      <c r="AC18" s="230">
        <v>3</v>
      </c>
      <c r="AD18" s="230"/>
      <c r="AE18" s="230"/>
      <c r="AF18" s="230"/>
      <c r="AG18" s="230"/>
      <c r="AH18" s="230"/>
      <c r="AI18" s="230"/>
      <c r="AJ18" s="231"/>
      <c r="AK18" s="230"/>
      <c r="AL18" s="230"/>
      <c r="AM18" s="233">
        <f t="shared" si="1"/>
        <v>12</v>
      </c>
      <c r="AN18" s="233">
        <f t="shared" si="2"/>
        <v>1</v>
      </c>
      <c r="AO18" s="234">
        <f t="shared" si="3"/>
        <v>0</v>
      </c>
      <c r="AQ18" s="96" t="str">
        <f t="shared" si="4"/>
        <v> </v>
      </c>
    </row>
    <row r="19" spans="1:43" ht="15">
      <c r="A19" s="78"/>
      <c r="B19" s="65" t="s">
        <v>11</v>
      </c>
      <c r="C19" s="239">
        <f t="shared" si="0"/>
        <v>36</v>
      </c>
      <c r="D19" s="230"/>
      <c r="E19" s="230"/>
      <c r="F19" s="230"/>
      <c r="G19" s="230"/>
      <c r="H19" s="230"/>
      <c r="I19" s="230">
        <v>6</v>
      </c>
      <c r="J19" s="230"/>
      <c r="K19" s="231"/>
      <c r="L19" s="230">
        <v>3</v>
      </c>
      <c r="M19" s="230"/>
      <c r="N19" s="230"/>
      <c r="O19" s="230"/>
      <c r="P19" s="230">
        <v>3</v>
      </c>
      <c r="Q19" s="230"/>
      <c r="R19" s="230">
        <v>6</v>
      </c>
      <c r="S19" s="230"/>
      <c r="T19" s="230"/>
      <c r="U19" s="230"/>
      <c r="V19" s="230">
        <v>3</v>
      </c>
      <c r="W19" s="230"/>
      <c r="X19" s="230">
        <v>2</v>
      </c>
      <c r="Y19" s="230"/>
      <c r="Z19" s="230"/>
      <c r="AA19" s="230"/>
      <c r="AB19" s="230"/>
      <c r="AC19" s="230"/>
      <c r="AD19" s="230">
        <v>5</v>
      </c>
      <c r="AE19" s="230"/>
      <c r="AF19" s="230"/>
      <c r="AG19" s="230">
        <v>5</v>
      </c>
      <c r="AH19" s="230">
        <v>1</v>
      </c>
      <c r="AI19" s="230"/>
      <c r="AJ19" s="231"/>
      <c r="AK19" s="230"/>
      <c r="AL19" s="230">
        <v>2</v>
      </c>
      <c r="AM19" s="233">
        <f t="shared" si="1"/>
        <v>10</v>
      </c>
      <c r="AN19" s="233">
        <f t="shared" si="2"/>
        <v>1</v>
      </c>
      <c r="AO19" s="234">
        <f t="shared" si="3"/>
        <v>0</v>
      </c>
      <c r="AQ19" s="96" t="str">
        <f t="shared" si="4"/>
        <v> </v>
      </c>
    </row>
    <row r="20" spans="2:43" ht="15">
      <c r="B20" s="65" t="s">
        <v>39</v>
      </c>
      <c r="C20" s="239">
        <f t="shared" si="0"/>
        <v>36</v>
      </c>
      <c r="D20" s="230">
        <v>8</v>
      </c>
      <c r="E20" s="230">
        <v>6</v>
      </c>
      <c r="F20" s="230">
        <v>4</v>
      </c>
      <c r="G20" s="230">
        <v>4</v>
      </c>
      <c r="H20" s="230"/>
      <c r="I20" s="230"/>
      <c r="J20" s="230"/>
      <c r="K20" s="231"/>
      <c r="L20" s="230"/>
      <c r="M20" s="230"/>
      <c r="N20" s="230"/>
      <c r="O20" s="230"/>
      <c r="P20" s="230"/>
      <c r="Q20" s="230"/>
      <c r="R20" s="230">
        <v>4</v>
      </c>
      <c r="S20" s="230">
        <v>2</v>
      </c>
      <c r="T20" s="230">
        <v>5</v>
      </c>
      <c r="U20" s="230"/>
      <c r="V20" s="230"/>
      <c r="W20" s="230"/>
      <c r="X20" s="230"/>
      <c r="Y20" s="230"/>
      <c r="Z20" s="230"/>
      <c r="AA20" s="230"/>
      <c r="AB20" s="230"/>
      <c r="AC20" s="230">
        <v>1</v>
      </c>
      <c r="AD20" s="230"/>
      <c r="AE20" s="230"/>
      <c r="AF20" s="230">
        <v>2</v>
      </c>
      <c r="AG20" s="230"/>
      <c r="AH20" s="230"/>
      <c r="AI20" s="230"/>
      <c r="AJ20" s="231"/>
      <c r="AK20" s="230"/>
      <c r="AL20" s="230"/>
      <c r="AM20" s="233">
        <f t="shared" si="1"/>
        <v>9</v>
      </c>
      <c r="AN20" s="233">
        <f t="shared" si="2"/>
        <v>1</v>
      </c>
      <c r="AO20" s="234">
        <f t="shared" si="3"/>
        <v>0</v>
      </c>
      <c r="AQ20" s="96" t="str">
        <f t="shared" si="4"/>
        <v> </v>
      </c>
    </row>
    <row r="21" spans="2:43" ht="15">
      <c r="B21" s="65" t="s">
        <v>19</v>
      </c>
      <c r="C21" s="239">
        <f t="shared" si="0"/>
        <v>35</v>
      </c>
      <c r="D21" s="230"/>
      <c r="E21" s="230"/>
      <c r="F21" s="230">
        <v>5</v>
      </c>
      <c r="G21" s="230">
        <v>3</v>
      </c>
      <c r="H21" s="230"/>
      <c r="I21" s="230">
        <v>2</v>
      </c>
      <c r="J21" s="230"/>
      <c r="K21" s="231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230"/>
      <c r="AA21" s="230">
        <v>4</v>
      </c>
      <c r="AB21" s="230"/>
      <c r="AC21" s="230"/>
      <c r="AD21" s="230"/>
      <c r="AE21" s="230">
        <v>10</v>
      </c>
      <c r="AF21" s="230"/>
      <c r="AG21" s="230">
        <v>1</v>
      </c>
      <c r="AH21" s="230"/>
      <c r="AI21" s="230"/>
      <c r="AJ21" s="231">
        <v>10</v>
      </c>
      <c r="AK21" s="230"/>
      <c r="AL21" s="230"/>
      <c r="AM21" s="233">
        <f t="shared" si="1"/>
        <v>7</v>
      </c>
      <c r="AN21" s="233">
        <f t="shared" si="2"/>
        <v>1</v>
      </c>
      <c r="AO21" s="234">
        <f t="shared" si="3"/>
        <v>2</v>
      </c>
      <c r="AQ21" s="96" t="str">
        <f t="shared" si="4"/>
        <v> </v>
      </c>
    </row>
    <row r="22" spans="2:43" ht="15">
      <c r="B22" s="65" t="s">
        <v>207</v>
      </c>
      <c r="C22" s="239">
        <f t="shared" si="0"/>
        <v>29</v>
      </c>
      <c r="D22" s="230"/>
      <c r="E22" s="230"/>
      <c r="F22" s="230"/>
      <c r="G22" s="230"/>
      <c r="H22" s="230"/>
      <c r="I22" s="230"/>
      <c r="J22" s="230"/>
      <c r="K22" s="231"/>
      <c r="L22" s="230"/>
      <c r="M22" s="230"/>
      <c r="N22" s="230"/>
      <c r="O22" s="230"/>
      <c r="P22" s="230"/>
      <c r="Q22" s="230"/>
      <c r="R22" s="230"/>
      <c r="S22" s="230">
        <v>4</v>
      </c>
      <c r="T22" s="230"/>
      <c r="U22" s="230"/>
      <c r="V22" s="230">
        <v>6</v>
      </c>
      <c r="W22" s="230">
        <v>8</v>
      </c>
      <c r="X22" s="230"/>
      <c r="Y22" s="230"/>
      <c r="Z22" s="230"/>
      <c r="AA22" s="230"/>
      <c r="AB22" s="230">
        <v>4</v>
      </c>
      <c r="AC22" s="230"/>
      <c r="AD22" s="230"/>
      <c r="AE22" s="230">
        <v>4</v>
      </c>
      <c r="AF22" s="230"/>
      <c r="AG22" s="230"/>
      <c r="AH22" s="230">
        <v>3</v>
      </c>
      <c r="AI22" s="230"/>
      <c r="AJ22" s="231"/>
      <c r="AK22" s="230"/>
      <c r="AL22" s="230"/>
      <c r="AM22" s="233">
        <f t="shared" si="1"/>
        <v>6</v>
      </c>
      <c r="AN22" s="233">
        <f t="shared" si="2"/>
        <v>3</v>
      </c>
      <c r="AO22" s="234">
        <f t="shared" si="3"/>
        <v>0</v>
      </c>
      <c r="AQ22" s="96" t="str">
        <f t="shared" si="4"/>
        <v> </v>
      </c>
    </row>
    <row r="23" spans="2:43" ht="15">
      <c r="B23" s="65" t="s">
        <v>25</v>
      </c>
      <c r="C23" s="239">
        <f t="shared" si="0"/>
        <v>25</v>
      </c>
      <c r="D23" s="230"/>
      <c r="E23" s="230"/>
      <c r="F23" s="230">
        <v>3</v>
      </c>
      <c r="G23" s="230"/>
      <c r="H23" s="230"/>
      <c r="I23" s="230"/>
      <c r="J23" s="230"/>
      <c r="K23" s="231"/>
      <c r="L23" s="230"/>
      <c r="M23" s="230"/>
      <c r="N23" s="230"/>
      <c r="O23" s="230"/>
      <c r="P23" s="230"/>
      <c r="Q23" s="230"/>
      <c r="R23" s="230"/>
      <c r="S23" s="230"/>
      <c r="T23" s="230"/>
      <c r="U23" s="230"/>
      <c r="V23" s="230"/>
      <c r="W23" s="230">
        <v>8</v>
      </c>
      <c r="X23" s="230"/>
      <c r="Y23" s="230"/>
      <c r="Z23" s="230"/>
      <c r="AA23" s="230">
        <v>2</v>
      </c>
      <c r="AB23" s="230"/>
      <c r="AC23" s="230"/>
      <c r="AD23" s="230"/>
      <c r="AE23" s="230">
        <v>6</v>
      </c>
      <c r="AF23" s="230"/>
      <c r="AG23" s="230"/>
      <c r="AH23" s="230"/>
      <c r="AI23" s="230">
        <v>6</v>
      </c>
      <c r="AJ23" s="231"/>
      <c r="AK23" s="230"/>
      <c r="AL23" s="230"/>
      <c r="AM23" s="233">
        <f t="shared" si="1"/>
        <v>5</v>
      </c>
      <c r="AN23" s="233">
        <f t="shared" si="2"/>
        <v>2</v>
      </c>
      <c r="AO23" s="234">
        <f t="shared" si="3"/>
        <v>0</v>
      </c>
      <c r="AQ23" s="96" t="str">
        <f t="shared" si="4"/>
        <v> </v>
      </c>
    </row>
    <row r="24" spans="2:43" ht="15">
      <c r="B24" s="65" t="s">
        <v>27</v>
      </c>
      <c r="C24" s="239">
        <f t="shared" si="0"/>
        <v>23</v>
      </c>
      <c r="D24" s="230"/>
      <c r="E24" s="230"/>
      <c r="F24" s="230"/>
      <c r="G24" s="230">
        <v>1</v>
      </c>
      <c r="H24" s="230"/>
      <c r="I24" s="230"/>
      <c r="J24" s="230"/>
      <c r="K24" s="231"/>
      <c r="L24" s="230"/>
      <c r="M24" s="230">
        <v>4</v>
      </c>
      <c r="N24" s="230"/>
      <c r="O24" s="230"/>
      <c r="P24" s="230">
        <v>2</v>
      </c>
      <c r="Q24" s="230">
        <v>8</v>
      </c>
      <c r="R24" s="230">
        <v>5</v>
      </c>
      <c r="S24" s="230"/>
      <c r="T24" s="230"/>
      <c r="U24" s="230"/>
      <c r="V24" s="230"/>
      <c r="W24" s="230"/>
      <c r="X24" s="230"/>
      <c r="Y24" s="230"/>
      <c r="Z24" s="230"/>
      <c r="AA24" s="230"/>
      <c r="AB24" s="230"/>
      <c r="AC24" s="230"/>
      <c r="AD24" s="230"/>
      <c r="AE24" s="230"/>
      <c r="AF24" s="230">
        <v>3</v>
      </c>
      <c r="AG24" s="230"/>
      <c r="AH24" s="230"/>
      <c r="AI24" s="230"/>
      <c r="AJ24" s="231"/>
      <c r="AK24" s="230"/>
      <c r="AL24" s="230"/>
      <c r="AM24" s="233">
        <f t="shared" si="1"/>
        <v>6</v>
      </c>
      <c r="AN24" s="233">
        <f t="shared" si="2"/>
        <v>1</v>
      </c>
      <c r="AO24" s="234">
        <f t="shared" si="3"/>
        <v>0</v>
      </c>
      <c r="AQ24" s="96" t="str">
        <f t="shared" si="4"/>
        <v> </v>
      </c>
    </row>
    <row r="25" spans="2:43" ht="15">
      <c r="B25" s="65" t="s">
        <v>43</v>
      </c>
      <c r="C25" s="239">
        <f t="shared" si="0"/>
        <v>9</v>
      </c>
      <c r="D25" s="230"/>
      <c r="E25" s="230"/>
      <c r="F25" s="230"/>
      <c r="G25" s="230"/>
      <c r="H25" s="230"/>
      <c r="I25" s="230"/>
      <c r="J25" s="230"/>
      <c r="K25" s="231"/>
      <c r="L25" s="230"/>
      <c r="M25" s="235"/>
      <c r="N25" s="230">
        <v>4</v>
      </c>
      <c r="O25" s="230"/>
      <c r="P25" s="230"/>
      <c r="Q25" s="230"/>
      <c r="R25" s="230"/>
      <c r="S25" s="230"/>
      <c r="T25" s="230"/>
      <c r="U25" s="230"/>
      <c r="V25" s="230"/>
      <c r="W25" s="230"/>
      <c r="X25" s="229"/>
      <c r="Y25" s="230"/>
      <c r="Z25" s="230">
        <v>3</v>
      </c>
      <c r="AA25" s="230"/>
      <c r="AB25" s="230"/>
      <c r="AC25" s="230"/>
      <c r="AD25" s="230"/>
      <c r="AE25" s="230"/>
      <c r="AF25" s="230"/>
      <c r="AG25" s="230"/>
      <c r="AH25" s="232"/>
      <c r="AI25" s="230"/>
      <c r="AJ25" s="231"/>
      <c r="AK25" s="230">
        <v>1</v>
      </c>
      <c r="AL25" s="230">
        <v>1</v>
      </c>
      <c r="AM25" s="233">
        <f t="shared" si="1"/>
        <v>4</v>
      </c>
      <c r="AN25" s="233">
        <f t="shared" si="2"/>
        <v>1</v>
      </c>
      <c r="AO25" s="234">
        <f t="shared" si="3"/>
        <v>0</v>
      </c>
      <c r="AQ25" s="96" t="str">
        <f t="shared" si="4"/>
        <v> </v>
      </c>
    </row>
    <row r="26" spans="2:43" ht="15">
      <c r="B26" s="65" t="s">
        <v>29</v>
      </c>
      <c r="C26" s="239">
        <f t="shared" si="0"/>
        <v>7</v>
      </c>
      <c r="D26" s="230"/>
      <c r="E26" s="230"/>
      <c r="F26" s="230"/>
      <c r="G26" s="230"/>
      <c r="H26" s="230"/>
      <c r="I26" s="230"/>
      <c r="J26" s="230"/>
      <c r="K26" s="231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0">
        <v>3</v>
      </c>
      <c r="Z26" s="230"/>
      <c r="AA26" s="230">
        <v>1</v>
      </c>
      <c r="AB26" s="230"/>
      <c r="AC26" s="230"/>
      <c r="AD26" s="230"/>
      <c r="AE26" s="230"/>
      <c r="AF26" s="230"/>
      <c r="AG26" s="230"/>
      <c r="AH26" s="230"/>
      <c r="AI26" s="230">
        <v>3</v>
      </c>
      <c r="AJ26" s="231"/>
      <c r="AK26" s="230"/>
      <c r="AL26" s="230"/>
      <c r="AM26" s="233">
        <f t="shared" si="1"/>
        <v>3</v>
      </c>
      <c r="AN26" s="233">
        <f t="shared" si="2"/>
        <v>1</v>
      </c>
      <c r="AO26" s="234">
        <f t="shared" si="3"/>
        <v>0</v>
      </c>
      <c r="AQ26" s="96" t="str">
        <f t="shared" si="4"/>
        <v> </v>
      </c>
    </row>
    <row r="27" spans="2:41" s="90" customFormat="1" ht="16.5" customHeight="1">
      <c r="B27" s="344"/>
      <c r="C27" s="345"/>
      <c r="D27" s="346">
        <f aca="true" t="shared" si="5" ref="D27:AL27">SUM(D3:D26)</f>
        <v>39</v>
      </c>
      <c r="E27" s="346">
        <f t="shared" si="5"/>
        <v>39</v>
      </c>
      <c r="F27" s="346">
        <f t="shared" si="5"/>
        <v>39</v>
      </c>
      <c r="G27" s="346">
        <f t="shared" si="5"/>
        <v>37</v>
      </c>
      <c r="H27" s="346">
        <f t="shared" si="5"/>
        <v>39</v>
      </c>
      <c r="I27" s="346">
        <f t="shared" si="5"/>
        <v>36</v>
      </c>
      <c r="J27" s="346">
        <f t="shared" si="5"/>
        <v>40</v>
      </c>
      <c r="K27" s="346">
        <f t="shared" si="5"/>
        <v>37</v>
      </c>
      <c r="L27" s="346">
        <f t="shared" si="5"/>
        <v>38</v>
      </c>
      <c r="M27" s="346">
        <f t="shared" si="5"/>
        <v>42</v>
      </c>
      <c r="N27" s="346">
        <f t="shared" si="5"/>
        <v>38</v>
      </c>
      <c r="O27" s="346">
        <f t="shared" si="5"/>
        <v>39</v>
      </c>
      <c r="P27" s="346">
        <f t="shared" si="5"/>
        <v>39</v>
      </c>
      <c r="Q27" s="346">
        <f t="shared" si="5"/>
        <v>38</v>
      </c>
      <c r="R27" s="346">
        <f t="shared" si="5"/>
        <v>39</v>
      </c>
      <c r="S27" s="346">
        <f t="shared" si="5"/>
        <v>36</v>
      </c>
      <c r="T27" s="346">
        <f t="shared" si="5"/>
        <v>36</v>
      </c>
      <c r="U27" s="346">
        <f t="shared" si="5"/>
        <v>38</v>
      </c>
      <c r="V27" s="346">
        <f t="shared" si="5"/>
        <v>39</v>
      </c>
      <c r="W27" s="346">
        <f t="shared" si="5"/>
        <v>44</v>
      </c>
      <c r="X27" s="346">
        <f t="shared" si="5"/>
        <v>39</v>
      </c>
      <c r="Y27" s="346">
        <f t="shared" si="5"/>
        <v>38</v>
      </c>
      <c r="Z27" s="346">
        <f t="shared" si="5"/>
        <v>39</v>
      </c>
      <c r="AA27" s="346">
        <f t="shared" si="5"/>
        <v>36</v>
      </c>
      <c r="AB27" s="346">
        <f t="shared" si="5"/>
        <v>38</v>
      </c>
      <c r="AC27" s="346">
        <f t="shared" si="5"/>
        <v>39</v>
      </c>
      <c r="AD27" s="346">
        <f t="shared" si="5"/>
        <v>35</v>
      </c>
      <c r="AE27" s="346">
        <f t="shared" si="5"/>
        <v>36</v>
      </c>
      <c r="AF27" s="346">
        <f t="shared" si="5"/>
        <v>39</v>
      </c>
      <c r="AG27" s="346">
        <f t="shared" si="5"/>
        <v>37</v>
      </c>
      <c r="AH27" s="346">
        <f t="shared" si="5"/>
        <v>37</v>
      </c>
      <c r="AI27" s="346">
        <f t="shared" si="5"/>
        <v>39</v>
      </c>
      <c r="AJ27" s="346">
        <f t="shared" si="5"/>
        <v>38</v>
      </c>
      <c r="AK27" s="346">
        <f t="shared" si="5"/>
        <v>36</v>
      </c>
      <c r="AL27" s="346">
        <f t="shared" si="5"/>
        <v>39</v>
      </c>
      <c r="AM27" s="345"/>
      <c r="AN27" s="345"/>
      <c r="AO27" s="347"/>
    </row>
    <row r="28" spans="2:41" ht="15">
      <c r="B28" s="91" t="s">
        <v>69</v>
      </c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2"/>
      <c r="AN28" s="92"/>
      <c r="AO28" s="93"/>
    </row>
    <row r="29" spans="3:4" ht="15">
      <c r="C29" s="67"/>
      <c r="D29" s="67"/>
    </row>
    <row r="30" spans="3:4" ht="15">
      <c r="C30" s="94"/>
      <c r="D30" s="94"/>
    </row>
  </sheetData>
  <sheetProtection selectLockedCells="1" selectUnlockedCells="1"/>
  <autoFilter ref="B2:AO2">
    <sortState ref="B3:AO30">
      <sortCondition descending="1" sortBy="value" ref="C3:C30"/>
    </sortState>
  </autoFilter>
  <printOptions horizontalCentered="1" verticalCentered="1"/>
  <pageMargins left="0.43333333333333335" right="0.43333333333333335" top="0.5513888888888889" bottom="0.5513888888888889" header="0.5118055555555555" footer="0.5118055555555555"/>
  <pageSetup horizontalDpi="300" verticalDpi="300" orientation="landscape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workbookViewId="0" topLeftCell="A1">
      <selection activeCell="A1" sqref="A1:N28"/>
    </sheetView>
  </sheetViews>
  <sheetFormatPr defaultColWidth="9.140625" defaultRowHeight="12.75"/>
  <cols>
    <col min="1" max="1" width="25.140625" style="141" customWidth="1"/>
    <col min="2" max="2" width="7.8515625" style="142" customWidth="1"/>
    <col min="3" max="3" width="8.421875" style="143" customWidth="1"/>
    <col min="4" max="4" width="6.8515625" style="142" customWidth="1"/>
    <col min="5" max="5" width="8.140625" style="142" customWidth="1"/>
    <col min="6" max="6" width="10.140625" style="142" customWidth="1"/>
    <col min="7" max="7" width="9.140625" style="142" customWidth="1"/>
    <col min="8" max="8" width="13.421875" style="142" customWidth="1"/>
    <col min="9" max="9" width="4.8515625" style="11" customWidth="1"/>
    <col min="10" max="10" width="8.421875" style="11" customWidth="1"/>
    <col min="11" max="11" width="7.00390625" style="11" customWidth="1"/>
    <col min="12" max="12" width="7.8515625" style="11" customWidth="1"/>
    <col min="13" max="13" width="7.421875" style="11" customWidth="1"/>
    <col min="14" max="14" width="12.421875" style="11" customWidth="1"/>
    <col min="15" max="15" width="7.421875" style="11" customWidth="1"/>
    <col min="16" max="16" width="9.140625" style="295" customWidth="1"/>
    <col min="17" max="17" width="9.140625" style="227" customWidth="1"/>
    <col min="18" max="16384" width="9.140625" style="11" customWidth="1"/>
  </cols>
  <sheetData>
    <row r="1" spans="2:17" s="144" customFormat="1" ht="43.5" customHeight="1">
      <c r="B1" s="419" t="s">
        <v>144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  <c r="P1" s="292"/>
      <c r="Q1" s="286"/>
    </row>
    <row r="2" spans="2:17" s="144" customFormat="1" ht="29.25" customHeight="1">
      <c r="B2" s="425" t="s">
        <v>212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P2" s="292"/>
      <c r="Q2" s="286"/>
    </row>
    <row r="3" spans="1:17" s="158" customFormat="1" ht="27" customHeight="1">
      <c r="A3" s="147" t="s">
        <v>88</v>
      </c>
      <c r="B3" s="148" t="s">
        <v>89</v>
      </c>
      <c r="C3" s="148" t="s">
        <v>90</v>
      </c>
      <c r="D3" s="148" t="s">
        <v>91</v>
      </c>
      <c r="E3" s="148" t="s">
        <v>92</v>
      </c>
      <c r="F3" s="149" t="s">
        <v>93</v>
      </c>
      <c r="G3" s="150" t="s">
        <v>94</v>
      </c>
      <c r="H3" s="151" t="s">
        <v>95</v>
      </c>
      <c r="I3" s="152"/>
      <c r="J3" s="153" t="s">
        <v>93</v>
      </c>
      <c r="K3" s="154"/>
      <c r="L3" s="155"/>
      <c r="M3" s="156" t="s">
        <v>94</v>
      </c>
      <c r="N3" s="157" t="s">
        <v>96</v>
      </c>
      <c r="P3" s="293"/>
      <c r="Q3" s="287" t="s">
        <v>123</v>
      </c>
    </row>
    <row r="4" spans="1:17" s="169" customFormat="1" ht="18" customHeight="1">
      <c r="A4" s="278" t="s">
        <v>52</v>
      </c>
      <c r="B4" s="279">
        <v>10.1</v>
      </c>
      <c r="C4" s="161">
        <v>25</v>
      </c>
      <c r="D4" s="161">
        <v>35</v>
      </c>
      <c r="E4" s="162"/>
      <c r="F4" s="160">
        <v>1</v>
      </c>
      <c r="G4" s="160">
        <v>10</v>
      </c>
      <c r="H4" s="163">
        <f>N4+I4</f>
        <v>1550000</v>
      </c>
      <c r="I4" s="164">
        <f>IF(E4&gt;0,$N$13,0)+IF(C4&gt;0,50000,0)+IF(C4&lt;0,50000,0)</f>
        <v>50000</v>
      </c>
      <c r="J4" s="165" t="s">
        <v>97</v>
      </c>
      <c r="K4" s="166"/>
      <c r="L4" s="167"/>
      <c r="M4" s="168">
        <v>10</v>
      </c>
      <c r="N4" s="163">
        <f>N12*25%</f>
        <v>1500000</v>
      </c>
      <c r="P4" s="294">
        <f>Q4/12*18</f>
        <v>34.5</v>
      </c>
      <c r="Q4" s="146">
        <v>23</v>
      </c>
    </row>
    <row r="5" spans="1:17" s="169" customFormat="1" ht="18" customHeight="1">
      <c r="A5" s="261" t="s">
        <v>50</v>
      </c>
      <c r="B5" s="281">
        <v>6.8</v>
      </c>
      <c r="C5" s="160">
        <v>24</v>
      </c>
      <c r="D5" s="161">
        <v>27</v>
      </c>
      <c r="E5" s="162"/>
      <c r="F5" s="160">
        <v>2</v>
      </c>
      <c r="G5" s="160">
        <v>8</v>
      </c>
      <c r="H5" s="163">
        <f aca="true" t="shared" si="0" ref="H5:H11">N5+I5</f>
        <v>1250000</v>
      </c>
      <c r="I5" s="164">
        <f aca="true" t="shared" si="1" ref="I5:I27">IF(E5&gt;0,$N$13,0)+IF(C5&gt;0,50000,0)+IF(C5&lt;0,50000,0)</f>
        <v>50000</v>
      </c>
      <c r="J5" s="170" t="s">
        <v>98</v>
      </c>
      <c r="K5" s="171"/>
      <c r="L5" s="172"/>
      <c r="M5" s="173">
        <v>8</v>
      </c>
      <c r="N5" s="163">
        <f>N12*20%</f>
        <v>1200000</v>
      </c>
      <c r="P5" s="294">
        <f aca="true" t="shared" si="2" ref="P5:P16">Q5/12*18</f>
        <v>27</v>
      </c>
      <c r="Q5" s="146">
        <v>18</v>
      </c>
    </row>
    <row r="6" spans="1:17" s="169" customFormat="1" ht="18" customHeight="1">
      <c r="A6" s="261" t="s">
        <v>30</v>
      </c>
      <c r="B6" s="281">
        <v>10.9</v>
      </c>
      <c r="C6" s="64">
        <v>24</v>
      </c>
      <c r="D6" s="161">
        <v>38</v>
      </c>
      <c r="E6" s="162"/>
      <c r="F6" s="64">
        <v>3</v>
      </c>
      <c r="G6" s="64">
        <v>6</v>
      </c>
      <c r="H6" s="163">
        <f t="shared" si="0"/>
        <v>950000</v>
      </c>
      <c r="I6" s="164">
        <f t="shared" si="1"/>
        <v>50000</v>
      </c>
      <c r="J6" s="170" t="s">
        <v>99</v>
      </c>
      <c r="K6" s="171"/>
      <c r="L6" s="172"/>
      <c r="M6" s="173">
        <v>6</v>
      </c>
      <c r="N6" s="163">
        <f>N12*15%</f>
        <v>900000</v>
      </c>
      <c r="P6" s="294">
        <f t="shared" si="2"/>
        <v>37.5</v>
      </c>
      <c r="Q6" s="146">
        <v>25</v>
      </c>
    </row>
    <row r="7" spans="1:18" s="169" customFormat="1" ht="18" customHeight="1">
      <c r="A7" s="261" t="s">
        <v>46</v>
      </c>
      <c r="B7" s="281">
        <v>14.6</v>
      </c>
      <c r="C7" s="160">
        <v>23</v>
      </c>
      <c r="D7" s="161">
        <v>30</v>
      </c>
      <c r="E7" s="178"/>
      <c r="F7" s="160">
        <v>4</v>
      </c>
      <c r="G7" s="160">
        <v>5</v>
      </c>
      <c r="H7" s="163">
        <f t="shared" si="0"/>
        <v>770000</v>
      </c>
      <c r="I7" s="164">
        <f t="shared" si="1"/>
        <v>50000</v>
      </c>
      <c r="J7" s="170" t="s">
        <v>100</v>
      </c>
      <c r="K7" s="171"/>
      <c r="L7" s="172"/>
      <c r="M7" s="173">
        <v>5</v>
      </c>
      <c r="N7" s="163">
        <f>N12*12%</f>
        <v>720000</v>
      </c>
      <c r="O7" s="175"/>
      <c r="P7" s="294">
        <f t="shared" si="2"/>
        <v>30</v>
      </c>
      <c r="Q7" s="175">
        <v>20</v>
      </c>
      <c r="R7" s="176"/>
    </row>
    <row r="8" spans="1:17" s="169" customFormat="1" ht="18" customHeight="1">
      <c r="A8" s="261" t="s">
        <v>12</v>
      </c>
      <c r="B8" s="281">
        <v>11.9</v>
      </c>
      <c r="C8" s="160">
        <v>19</v>
      </c>
      <c r="D8" s="161">
        <v>39</v>
      </c>
      <c r="E8" s="162"/>
      <c r="F8" s="160">
        <v>5</v>
      </c>
      <c r="G8" s="160">
        <v>4</v>
      </c>
      <c r="H8" s="163">
        <f t="shared" si="0"/>
        <v>650000</v>
      </c>
      <c r="I8" s="164">
        <f t="shared" si="1"/>
        <v>50000</v>
      </c>
      <c r="J8" s="170" t="s">
        <v>101</v>
      </c>
      <c r="K8" s="171"/>
      <c r="L8" s="172"/>
      <c r="M8" s="173">
        <v>4</v>
      </c>
      <c r="N8" s="163">
        <f>N12*10%</f>
        <v>600000</v>
      </c>
      <c r="P8" s="294">
        <f t="shared" si="2"/>
        <v>39</v>
      </c>
      <c r="Q8" s="146">
        <v>26</v>
      </c>
    </row>
    <row r="9" spans="1:17" s="169" customFormat="1" ht="18" customHeight="1">
      <c r="A9" s="261" t="s">
        <v>40</v>
      </c>
      <c r="B9" s="281">
        <v>15.5</v>
      </c>
      <c r="C9" s="161">
        <v>19</v>
      </c>
      <c r="D9" s="161">
        <v>35</v>
      </c>
      <c r="E9" s="162">
        <v>2.6</v>
      </c>
      <c r="F9" s="178">
        <v>6</v>
      </c>
      <c r="G9" s="178">
        <v>3</v>
      </c>
      <c r="H9" s="163">
        <f t="shared" si="0"/>
        <v>890000</v>
      </c>
      <c r="I9" s="164">
        <f t="shared" si="1"/>
        <v>410000</v>
      </c>
      <c r="J9" s="170" t="s">
        <v>102</v>
      </c>
      <c r="K9" s="171"/>
      <c r="L9" s="172"/>
      <c r="M9" s="173">
        <v>3</v>
      </c>
      <c r="N9" s="163">
        <f>N12*8%</f>
        <v>480000</v>
      </c>
      <c r="P9" s="294">
        <f t="shared" si="2"/>
        <v>34.5</v>
      </c>
      <c r="Q9" s="146">
        <v>23</v>
      </c>
    </row>
    <row r="10" spans="1:17" s="169" customFormat="1" ht="18" customHeight="1">
      <c r="A10" s="261" t="s">
        <v>14</v>
      </c>
      <c r="B10" s="281">
        <v>18</v>
      </c>
      <c r="C10" s="160">
        <v>17</v>
      </c>
      <c r="D10" s="161">
        <v>41</v>
      </c>
      <c r="E10" s="162"/>
      <c r="F10" s="160">
        <v>7</v>
      </c>
      <c r="G10" s="160">
        <v>2</v>
      </c>
      <c r="H10" s="163">
        <f t="shared" si="0"/>
        <v>410000</v>
      </c>
      <c r="I10" s="164">
        <f t="shared" si="1"/>
        <v>50000</v>
      </c>
      <c r="J10" s="170" t="s">
        <v>103</v>
      </c>
      <c r="K10" s="171"/>
      <c r="L10" s="172"/>
      <c r="M10" s="173">
        <v>2</v>
      </c>
      <c r="N10" s="163">
        <f>N12*6%</f>
        <v>360000</v>
      </c>
      <c r="P10" s="294">
        <f t="shared" si="2"/>
        <v>40.5</v>
      </c>
      <c r="Q10" s="146">
        <v>27</v>
      </c>
    </row>
    <row r="11" spans="1:17" s="169" customFormat="1" ht="18" customHeight="1">
      <c r="A11" s="261" t="s">
        <v>42</v>
      </c>
      <c r="B11" s="281">
        <v>24.4</v>
      </c>
      <c r="C11" s="160">
        <v>17</v>
      </c>
      <c r="D11" s="161">
        <v>38</v>
      </c>
      <c r="E11" s="64"/>
      <c r="F11" s="160">
        <v>8</v>
      </c>
      <c r="G11" s="160">
        <v>1</v>
      </c>
      <c r="H11" s="163">
        <f t="shared" si="0"/>
        <v>290000</v>
      </c>
      <c r="I11" s="164">
        <f t="shared" si="1"/>
        <v>50000</v>
      </c>
      <c r="J11" s="170" t="s">
        <v>104</v>
      </c>
      <c r="K11" s="171"/>
      <c r="L11" s="172"/>
      <c r="M11" s="173">
        <v>1</v>
      </c>
      <c r="N11" s="163">
        <f>N12*4%</f>
        <v>240000</v>
      </c>
      <c r="P11" s="294">
        <f t="shared" si="2"/>
        <v>37.5</v>
      </c>
      <c r="Q11" s="146">
        <v>25</v>
      </c>
    </row>
    <row r="12" spans="1:17" s="169" customFormat="1" ht="18" customHeight="1">
      <c r="A12" s="261" t="s">
        <v>26</v>
      </c>
      <c r="B12" s="281">
        <v>14.4</v>
      </c>
      <c r="C12" s="160">
        <v>16</v>
      </c>
      <c r="D12" s="161">
        <v>39</v>
      </c>
      <c r="E12" s="162"/>
      <c r="F12" s="160"/>
      <c r="G12" s="160"/>
      <c r="H12" s="163">
        <f>I12</f>
        <v>50000</v>
      </c>
      <c r="I12" s="164">
        <f t="shared" si="1"/>
        <v>50000</v>
      </c>
      <c r="J12" s="179" t="s">
        <v>105</v>
      </c>
      <c r="K12" s="171"/>
      <c r="L12" s="172"/>
      <c r="M12" s="173"/>
      <c r="N12" s="180">
        <v>6000000</v>
      </c>
      <c r="P12" s="294">
        <f t="shared" si="2"/>
        <v>39</v>
      </c>
      <c r="Q12" s="146">
        <v>26</v>
      </c>
    </row>
    <row r="13" spans="1:17" s="169" customFormat="1" ht="18" customHeight="1">
      <c r="A13" s="261" t="s">
        <v>44</v>
      </c>
      <c r="B13" s="281">
        <v>16.8</v>
      </c>
      <c r="C13" s="161">
        <v>16</v>
      </c>
      <c r="D13" s="161">
        <v>38</v>
      </c>
      <c r="E13" s="162"/>
      <c r="F13" s="160"/>
      <c r="G13" s="160"/>
      <c r="H13" s="163">
        <f aca="true" t="shared" si="3" ref="H13:H27">I13</f>
        <v>50000</v>
      </c>
      <c r="I13" s="164">
        <f t="shared" si="1"/>
        <v>50000</v>
      </c>
      <c r="J13" s="182" t="s">
        <v>106</v>
      </c>
      <c r="K13" s="183"/>
      <c r="L13" s="184"/>
      <c r="M13" s="185">
        <v>1</v>
      </c>
      <c r="N13" s="186">
        <f>N10</f>
        <v>360000</v>
      </c>
      <c r="P13" s="294">
        <f t="shared" si="2"/>
        <v>37.5</v>
      </c>
      <c r="Q13" s="146">
        <v>25</v>
      </c>
    </row>
    <row r="14" spans="1:17" s="169" customFormat="1" ht="18" customHeight="1">
      <c r="A14" s="261" t="s">
        <v>18</v>
      </c>
      <c r="B14" s="281">
        <v>18</v>
      </c>
      <c r="C14" s="160">
        <v>16</v>
      </c>
      <c r="D14" s="161">
        <v>39</v>
      </c>
      <c r="E14" s="162"/>
      <c r="F14" s="160"/>
      <c r="G14" s="160"/>
      <c r="H14" s="163">
        <f t="shared" si="3"/>
        <v>50000</v>
      </c>
      <c r="I14" s="164">
        <f t="shared" si="1"/>
        <v>50000</v>
      </c>
      <c r="J14" s="187"/>
      <c r="K14" s="183"/>
      <c r="L14" s="183"/>
      <c r="M14" s="188"/>
      <c r="N14" s="189"/>
      <c r="P14" s="294">
        <f t="shared" si="2"/>
        <v>39</v>
      </c>
      <c r="Q14" s="146">
        <v>26</v>
      </c>
    </row>
    <row r="15" spans="1:17" s="169" customFormat="1" ht="18" customHeight="1">
      <c r="A15" s="261" t="s">
        <v>38</v>
      </c>
      <c r="B15" s="281">
        <v>21.6</v>
      </c>
      <c r="C15" s="160">
        <v>15</v>
      </c>
      <c r="D15" s="161">
        <v>44</v>
      </c>
      <c r="E15" s="64"/>
      <c r="F15" s="160"/>
      <c r="G15" s="160"/>
      <c r="H15" s="163">
        <f t="shared" si="3"/>
        <v>50000</v>
      </c>
      <c r="I15" s="164">
        <f t="shared" si="1"/>
        <v>50000</v>
      </c>
      <c r="J15" s="190"/>
      <c r="K15" s="191"/>
      <c r="L15" s="191"/>
      <c r="M15" s="192"/>
      <c r="N15" s="193"/>
      <c r="P15" s="294">
        <f t="shared" si="2"/>
        <v>43.5</v>
      </c>
      <c r="Q15" s="146">
        <v>29</v>
      </c>
    </row>
    <row r="16" spans="1:17" s="169" customFormat="1" ht="18" customHeight="1">
      <c r="A16" s="261" t="s">
        <v>20</v>
      </c>
      <c r="B16" s="281">
        <v>14.8</v>
      </c>
      <c r="C16" s="161">
        <v>11</v>
      </c>
      <c r="D16" s="161">
        <v>39</v>
      </c>
      <c r="E16" s="162"/>
      <c r="F16" s="64"/>
      <c r="G16" s="64"/>
      <c r="H16" s="163">
        <f t="shared" si="3"/>
        <v>50000</v>
      </c>
      <c r="I16" s="164">
        <f t="shared" si="1"/>
        <v>50000</v>
      </c>
      <c r="P16" s="294">
        <f t="shared" si="2"/>
        <v>39</v>
      </c>
      <c r="Q16" s="146">
        <v>26</v>
      </c>
    </row>
    <row r="17" spans="1:17" s="169" customFormat="1" ht="18" customHeight="1">
      <c r="A17" s="261" t="s">
        <v>36</v>
      </c>
      <c r="B17" s="281">
        <v>15.2</v>
      </c>
      <c r="C17" s="64">
        <v>9</v>
      </c>
      <c r="D17" s="161" t="s">
        <v>112</v>
      </c>
      <c r="E17" s="162"/>
      <c r="F17" s="64"/>
      <c r="G17" s="64"/>
      <c r="H17" s="163">
        <f t="shared" si="3"/>
        <v>50000</v>
      </c>
      <c r="I17" s="164">
        <f t="shared" si="1"/>
        <v>50000</v>
      </c>
      <c r="J17" s="175"/>
      <c r="K17" s="175"/>
      <c r="L17" s="175"/>
      <c r="M17" s="176"/>
      <c r="P17" s="294"/>
      <c r="Q17" s="146"/>
    </row>
    <row r="18" spans="1:17" s="169" customFormat="1" ht="18" customHeight="1">
      <c r="A18" s="261"/>
      <c r="B18" s="281"/>
      <c r="C18" s="181"/>
      <c r="D18" s="161"/>
      <c r="E18" s="162"/>
      <c r="F18" s="160"/>
      <c r="G18" s="160"/>
      <c r="H18" s="163">
        <f t="shared" si="3"/>
        <v>0</v>
      </c>
      <c r="I18" s="164">
        <f t="shared" si="1"/>
        <v>0</v>
      </c>
      <c r="J18" s="176"/>
      <c r="K18" s="176"/>
      <c r="L18" s="176"/>
      <c r="M18" s="176"/>
      <c r="P18" s="294"/>
      <c r="Q18" s="146"/>
    </row>
    <row r="19" spans="1:17" s="169" customFormat="1" ht="18" customHeight="1">
      <c r="A19" s="261"/>
      <c r="B19" s="281"/>
      <c r="C19" s="160"/>
      <c r="D19" s="161"/>
      <c r="E19" s="162"/>
      <c r="F19" s="160"/>
      <c r="G19" s="160"/>
      <c r="H19" s="163">
        <f t="shared" si="3"/>
        <v>0</v>
      </c>
      <c r="I19" s="164">
        <f t="shared" si="1"/>
        <v>0</v>
      </c>
      <c r="J19" s="176"/>
      <c r="K19" s="176"/>
      <c r="L19" s="176"/>
      <c r="M19" s="176"/>
      <c r="P19" s="294"/>
      <c r="Q19" s="146"/>
    </row>
    <row r="20" spans="1:17" s="144" customFormat="1" ht="18" customHeight="1">
      <c r="A20" s="261"/>
      <c r="B20" s="281"/>
      <c r="C20" s="160"/>
      <c r="D20" s="161"/>
      <c r="E20" s="64"/>
      <c r="F20" s="64"/>
      <c r="G20" s="64"/>
      <c r="H20" s="163">
        <f t="shared" si="3"/>
        <v>0</v>
      </c>
      <c r="I20" s="164">
        <f t="shared" si="1"/>
        <v>0</v>
      </c>
      <c r="P20" s="292"/>
      <c r="Q20" s="286"/>
    </row>
    <row r="21" spans="1:17" s="144" customFormat="1" ht="18" customHeight="1">
      <c r="A21" s="261"/>
      <c r="B21" s="281"/>
      <c r="C21" s="160"/>
      <c r="D21" s="181"/>
      <c r="E21" s="64"/>
      <c r="F21" s="64"/>
      <c r="G21" s="64"/>
      <c r="H21" s="163">
        <f t="shared" si="3"/>
        <v>0</v>
      </c>
      <c r="I21" s="164">
        <f t="shared" si="1"/>
        <v>0</v>
      </c>
      <c r="P21" s="292"/>
      <c r="Q21" s="286"/>
    </row>
    <row r="22" spans="1:17" s="144" customFormat="1" ht="18" customHeight="1">
      <c r="A22" s="261"/>
      <c r="B22" s="281"/>
      <c r="C22" s="161"/>
      <c r="D22" s="161"/>
      <c r="E22" s="64"/>
      <c r="F22" s="64"/>
      <c r="G22" s="64"/>
      <c r="H22" s="163">
        <f t="shared" si="3"/>
        <v>0</v>
      </c>
      <c r="I22" s="164">
        <f t="shared" si="1"/>
        <v>0</v>
      </c>
      <c r="P22" s="292"/>
      <c r="Q22" s="286"/>
    </row>
    <row r="23" spans="1:17" s="144" customFormat="1" ht="18" customHeight="1">
      <c r="A23" s="261"/>
      <c r="B23" s="281"/>
      <c r="C23" s="160"/>
      <c r="D23" s="181"/>
      <c r="E23" s="64"/>
      <c r="F23" s="64"/>
      <c r="G23" s="64"/>
      <c r="H23" s="163">
        <f t="shared" si="3"/>
        <v>0</v>
      </c>
      <c r="I23" s="164">
        <f t="shared" si="1"/>
        <v>0</v>
      </c>
      <c r="P23" s="292"/>
      <c r="Q23" s="286"/>
    </row>
    <row r="24" spans="1:17" s="144" customFormat="1" ht="18" customHeight="1">
      <c r="A24" s="261"/>
      <c r="B24" s="281"/>
      <c r="C24" s="160"/>
      <c r="D24" s="181"/>
      <c r="E24" s="64"/>
      <c r="F24" s="64"/>
      <c r="G24" s="64"/>
      <c r="H24" s="163">
        <f t="shared" si="3"/>
        <v>0</v>
      </c>
      <c r="I24" s="164">
        <f t="shared" si="1"/>
        <v>0</v>
      </c>
      <c r="P24" s="292"/>
      <c r="Q24" s="286"/>
    </row>
    <row r="25" spans="1:17" s="144" customFormat="1" ht="18" customHeight="1">
      <c r="A25" s="261"/>
      <c r="B25" s="281"/>
      <c r="C25" s="161"/>
      <c r="D25" s="181"/>
      <c r="E25" s="64"/>
      <c r="F25" s="64"/>
      <c r="G25" s="64"/>
      <c r="H25" s="163">
        <f t="shared" si="3"/>
        <v>0</v>
      </c>
      <c r="I25" s="164">
        <f t="shared" si="1"/>
        <v>0</v>
      </c>
      <c r="P25" s="292"/>
      <c r="Q25" s="286"/>
    </row>
    <row r="26" spans="1:17" s="144" customFormat="1" ht="18" customHeight="1">
      <c r="A26" s="65"/>
      <c r="B26" s="66"/>
      <c r="C26" s="160"/>
      <c r="D26" s="181"/>
      <c r="E26" s="162"/>
      <c r="F26" s="160"/>
      <c r="G26" s="160"/>
      <c r="H26" s="163">
        <f t="shared" si="3"/>
        <v>0</v>
      </c>
      <c r="I26" s="164">
        <f t="shared" si="1"/>
        <v>0</v>
      </c>
      <c r="P26" s="292"/>
      <c r="Q26" s="286"/>
    </row>
    <row r="27" spans="1:17" s="144" customFormat="1" ht="18" customHeight="1">
      <c r="A27" s="65"/>
      <c r="B27" s="66"/>
      <c r="C27" s="160"/>
      <c r="D27" s="161"/>
      <c r="E27" s="162"/>
      <c r="F27" s="160"/>
      <c r="G27" s="160"/>
      <c r="H27" s="163">
        <f t="shared" si="3"/>
        <v>0</v>
      </c>
      <c r="I27" s="164">
        <f t="shared" si="1"/>
        <v>0</v>
      </c>
      <c r="P27" s="292"/>
      <c r="Q27" s="286"/>
    </row>
    <row r="28" spans="1:9" ht="24" customHeight="1" thickBot="1">
      <c r="A28" s="1"/>
      <c r="B28" s="3"/>
      <c r="C28" s="196"/>
      <c r="D28" s="198">
        <f>SUM(D4:D27)</f>
        <v>482</v>
      </c>
      <c r="E28" s="196"/>
      <c r="F28" s="3"/>
      <c r="G28" s="198">
        <f>SUM(G4:G27)</f>
        <v>39</v>
      </c>
      <c r="H28" s="198">
        <f>SUM(H4:H27)</f>
        <v>7060000</v>
      </c>
      <c r="I28" s="199"/>
    </row>
    <row r="29" ht="18" thickTop="1"/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 scale="88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workbookViewId="0" topLeftCell="A1">
      <selection activeCell="A1" sqref="A1"/>
    </sheetView>
  </sheetViews>
  <sheetFormatPr defaultColWidth="9.140625" defaultRowHeight="12.75"/>
  <cols>
    <col min="1" max="1" width="25.140625" style="141" customWidth="1"/>
    <col min="2" max="2" width="7.8515625" style="142" customWidth="1"/>
    <col min="3" max="3" width="8.421875" style="143" customWidth="1"/>
    <col min="4" max="4" width="6.8515625" style="142" customWidth="1"/>
    <col min="5" max="5" width="8.140625" style="142" customWidth="1"/>
    <col min="6" max="6" width="10.140625" style="142" customWidth="1"/>
    <col min="7" max="7" width="9.140625" style="142" customWidth="1"/>
    <col min="8" max="8" width="13.421875" style="142" customWidth="1"/>
    <col min="9" max="9" width="4.8515625" style="11" customWidth="1"/>
    <col min="10" max="10" width="8.421875" style="11" customWidth="1"/>
    <col min="11" max="11" width="7.00390625" style="11" customWidth="1"/>
    <col min="12" max="12" width="7.8515625" style="11" customWidth="1"/>
    <col min="13" max="13" width="7.421875" style="11" customWidth="1"/>
    <col min="14" max="14" width="12.421875" style="11" customWidth="1"/>
    <col min="15" max="15" width="7.421875" style="11" customWidth="1"/>
    <col min="16" max="16384" width="9.140625" style="11" customWidth="1"/>
  </cols>
  <sheetData>
    <row r="1" spans="2:14" s="144" customFormat="1" ht="43.5" customHeight="1">
      <c r="B1" s="419" t="s">
        <v>192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2:16" s="144" customFormat="1" ht="29.25" customHeight="1">
      <c r="B2" s="425" t="s">
        <v>211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P2" s="144" t="s">
        <v>208</v>
      </c>
    </row>
    <row r="3" spans="1:14" s="158" customFormat="1" ht="27" customHeight="1">
      <c r="A3" s="147" t="s">
        <v>88</v>
      </c>
      <c r="B3" s="148" t="s">
        <v>89</v>
      </c>
      <c r="C3" s="148" t="s">
        <v>94</v>
      </c>
      <c r="D3" s="148" t="s">
        <v>91</v>
      </c>
      <c r="E3" s="148" t="s">
        <v>92</v>
      </c>
      <c r="F3" s="149" t="s">
        <v>93</v>
      </c>
      <c r="G3" s="150" t="s">
        <v>94</v>
      </c>
      <c r="H3" s="151" t="s">
        <v>95</v>
      </c>
      <c r="I3" s="152"/>
      <c r="J3" s="153" t="s">
        <v>93</v>
      </c>
      <c r="K3" s="154"/>
      <c r="L3" s="155"/>
      <c r="M3" s="156" t="s">
        <v>94</v>
      </c>
      <c r="N3" s="157" t="s">
        <v>96</v>
      </c>
    </row>
    <row r="4" spans="1:16" s="169" customFormat="1" ht="18" customHeight="1">
      <c r="A4" s="278" t="s">
        <v>32</v>
      </c>
      <c r="B4" s="279">
        <v>13.5</v>
      </c>
      <c r="C4" s="161">
        <v>18</v>
      </c>
      <c r="D4" s="181">
        <f aca="true" t="shared" si="0" ref="D4:D17">P4*2</f>
        <v>32</v>
      </c>
      <c r="E4" s="162"/>
      <c r="F4" s="160">
        <v>1</v>
      </c>
      <c r="G4" s="160">
        <v>10</v>
      </c>
      <c r="H4" s="163">
        <f>N4+I4</f>
        <v>1550000</v>
      </c>
      <c r="I4" s="164">
        <f>IF(E4&gt;0,$N$13,0)+IF(C4&gt;0,50000,0)+IF(C4&lt;0,50000,0)</f>
        <v>50000</v>
      </c>
      <c r="J4" s="165" t="s">
        <v>97</v>
      </c>
      <c r="K4" s="166"/>
      <c r="L4" s="167"/>
      <c r="M4" s="168">
        <v>10</v>
      </c>
      <c r="N4" s="163">
        <f>N12*25%</f>
        <v>1500000</v>
      </c>
      <c r="P4" s="181">
        <v>16</v>
      </c>
    </row>
    <row r="5" spans="1:16" s="169" customFormat="1" ht="18" customHeight="1">
      <c r="A5" s="261" t="s">
        <v>36</v>
      </c>
      <c r="B5" s="281">
        <v>15.2</v>
      </c>
      <c r="C5" s="160">
        <v>17</v>
      </c>
      <c r="D5" s="181">
        <f t="shared" si="0"/>
        <v>36</v>
      </c>
      <c r="E5" s="64"/>
      <c r="F5" s="160">
        <v>2</v>
      </c>
      <c r="G5" s="160">
        <v>8</v>
      </c>
      <c r="H5" s="163">
        <f aca="true" t="shared" si="1" ref="H5:H11">N5+I5</f>
        <v>1250000</v>
      </c>
      <c r="I5" s="164">
        <f aca="true" t="shared" si="2" ref="I5:I27">IF(E5&gt;0,$N$13,0)+IF(C5&gt;0,50000,0)+IF(C5&lt;0,50000,0)</f>
        <v>50000</v>
      </c>
      <c r="J5" s="170" t="s">
        <v>98</v>
      </c>
      <c r="K5" s="171"/>
      <c r="L5" s="172"/>
      <c r="M5" s="173">
        <v>8</v>
      </c>
      <c r="N5" s="163">
        <f>N12*20%</f>
        <v>1200000</v>
      </c>
      <c r="P5" s="161">
        <v>18</v>
      </c>
    </row>
    <row r="6" spans="1:16" s="169" customFormat="1" ht="18" customHeight="1">
      <c r="A6" s="261" t="s">
        <v>12</v>
      </c>
      <c r="B6" s="281">
        <v>11.9</v>
      </c>
      <c r="C6" s="160">
        <v>16</v>
      </c>
      <c r="D6" s="181">
        <f t="shared" si="0"/>
        <v>32</v>
      </c>
      <c r="E6" s="162">
        <v>4.27</v>
      </c>
      <c r="F6" s="64">
        <v>3</v>
      </c>
      <c r="G6" s="64">
        <v>6</v>
      </c>
      <c r="H6" s="163">
        <f t="shared" si="1"/>
        <v>1310000</v>
      </c>
      <c r="I6" s="164">
        <f t="shared" si="2"/>
        <v>410000</v>
      </c>
      <c r="J6" s="170" t="s">
        <v>99</v>
      </c>
      <c r="K6" s="171"/>
      <c r="L6" s="172"/>
      <c r="M6" s="173">
        <v>6</v>
      </c>
      <c r="N6" s="163">
        <f>N12*15%</f>
        <v>900000</v>
      </c>
      <c r="P6" s="161">
        <v>16</v>
      </c>
    </row>
    <row r="7" spans="1:17" s="169" customFormat="1" ht="18" customHeight="1">
      <c r="A7" s="261" t="s">
        <v>34</v>
      </c>
      <c r="B7" s="281">
        <v>14.1</v>
      </c>
      <c r="C7" s="160">
        <v>16</v>
      </c>
      <c r="D7" s="181">
        <f t="shared" si="0"/>
        <v>40</v>
      </c>
      <c r="E7" s="162"/>
      <c r="F7" s="160">
        <v>4</v>
      </c>
      <c r="G7" s="160">
        <v>5</v>
      </c>
      <c r="H7" s="163">
        <f t="shared" si="1"/>
        <v>770000</v>
      </c>
      <c r="I7" s="164">
        <f t="shared" si="2"/>
        <v>50000</v>
      </c>
      <c r="J7" s="170" t="s">
        <v>100</v>
      </c>
      <c r="K7" s="171"/>
      <c r="L7" s="172"/>
      <c r="M7" s="173">
        <v>5</v>
      </c>
      <c r="N7" s="163">
        <f>N12*12%</f>
        <v>720000</v>
      </c>
      <c r="O7" s="175"/>
      <c r="P7" s="161">
        <v>20</v>
      </c>
      <c r="Q7" s="176"/>
    </row>
    <row r="8" spans="1:16" s="169" customFormat="1" ht="18" customHeight="1">
      <c r="A8" s="261" t="s">
        <v>40</v>
      </c>
      <c r="B8" s="281">
        <v>15.5</v>
      </c>
      <c r="C8" s="160">
        <v>16</v>
      </c>
      <c r="D8" s="181">
        <f t="shared" si="0"/>
        <v>40</v>
      </c>
      <c r="E8" s="162"/>
      <c r="F8" s="160">
        <v>5</v>
      </c>
      <c r="G8" s="160">
        <v>4</v>
      </c>
      <c r="H8" s="163">
        <f t="shared" si="1"/>
        <v>650000</v>
      </c>
      <c r="I8" s="164">
        <f t="shared" si="2"/>
        <v>50000</v>
      </c>
      <c r="J8" s="170" t="s">
        <v>101</v>
      </c>
      <c r="K8" s="171"/>
      <c r="L8" s="172"/>
      <c r="M8" s="173">
        <v>4</v>
      </c>
      <c r="N8" s="163">
        <f>N12*10%</f>
        <v>600000</v>
      </c>
      <c r="P8" s="161">
        <v>20</v>
      </c>
    </row>
    <row r="9" spans="1:16" s="169" customFormat="1" ht="18" customHeight="1">
      <c r="A9" s="261" t="s">
        <v>44</v>
      </c>
      <c r="B9" s="281">
        <v>16.8</v>
      </c>
      <c r="C9" s="181">
        <v>16</v>
      </c>
      <c r="D9" s="181">
        <f t="shared" si="0"/>
        <v>36</v>
      </c>
      <c r="E9" s="64"/>
      <c r="F9" s="178">
        <v>6</v>
      </c>
      <c r="G9" s="178">
        <v>3</v>
      </c>
      <c r="H9" s="163">
        <f t="shared" si="1"/>
        <v>530000</v>
      </c>
      <c r="I9" s="164">
        <f t="shared" si="2"/>
        <v>50000</v>
      </c>
      <c r="J9" s="170" t="s">
        <v>102</v>
      </c>
      <c r="K9" s="171"/>
      <c r="L9" s="172"/>
      <c r="M9" s="173">
        <v>3</v>
      </c>
      <c r="N9" s="163">
        <f>N12*8%</f>
        <v>480000</v>
      </c>
      <c r="P9" s="161">
        <v>18</v>
      </c>
    </row>
    <row r="10" spans="1:16" s="169" customFormat="1" ht="18" customHeight="1">
      <c r="A10" s="261" t="s">
        <v>10</v>
      </c>
      <c r="B10" s="281">
        <v>22.5</v>
      </c>
      <c r="C10" s="160">
        <v>16</v>
      </c>
      <c r="D10" s="181">
        <f t="shared" si="0"/>
        <v>38</v>
      </c>
      <c r="E10" s="162"/>
      <c r="F10" s="160">
        <v>7</v>
      </c>
      <c r="G10" s="160">
        <v>2</v>
      </c>
      <c r="H10" s="163">
        <f t="shared" si="1"/>
        <v>410000</v>
      </c>
      <c r="I10" s="164">
        <f t="shared" si="2"/>
        <v>50000</v>
      </c>
      <c r="J10" s="170" t="s">
        <v>103</v>
      </c>
      <c r="K10" s="171"/>
      <c r="L10" s="172"/>
      <c r="M10" s="173">
        <v>2</v>
      </c>
      <c r="N10" s="163">
        <f>N12*6%</f>
        <v>360000</v>
      </c>
      <c r="P10" s="161">
        <v>19</v>
      </c>
    </row>
    <row r="11" spans="1:16" s="169" customFormat="1" ht="18" customHeight="1">
      <c r="A11" s="261" t="s">
        <v>42</v>
      </c>
      <c r="B11" s="281">
        <v>24.4</v>
      </c>
      <c r="C11" s="161">
        <v>16</v>
      </c>
      <c r="D11" s="181">
        <f t="shared" si="0"/>
        <v>38</v>
      </c>
      <c r="E11" s="162"/>
      <c r="F11" s="160">
        <v>8</v>
      </c>
      <c r="G11" s="160">
        <v>1</v>
      </c>
      <c r="H11" s="163">
        <f t="shared" si="1"/>
        <v>290000</v>
      </c>
      <c r="I11" s="164">
        <f t="shared" si="2"/>
        <v>50000</v>
      </c>
      <c r="J11" s="170" t="s">
        <v>104</v>
      </c>
      <c r="K11" s="171"/>
      <c r="L11" s="172"/>
      <c r="M11" s="173">
        <v>1</v>
      </c>
      <c r="N11" s="163">
        <f>N12*4%</f>
        <v>240000</v>
      </c>
      <c r="P11" s="161">
        <v>19</v>
      </c>
    </row>
    <row r="12" spans="1:16" s="169" customFormat="1" ht="18" customHeight="1">
      <c r="A12" s="261" t="s">
        <v>30</v>
      </c>
      <c r="B12" s="281">
        <v>10.9</v>
      </c>
      <c r="C12" s="160">
        <v>14</v>
      </c>
      <c r="D12" s="181">
        <f t="shared" si="0"/>
        <v>36</v>
      </c>
      <c r="E12" s="162"/>
      <c r="F12" s="160"/>
      <c r="G12" s="160"/>
      <c r="H12" s="163">
        <f>I12</f>
        <v>50000</v>
      </c>
      <c r="I12" s="164">
        <f t="shared" si="2"/>
        <v>50000</v>
      </c>
      <c r="J12" s="179" t="s">
        <v>105</v>
      </c>
      <c r="K12" s="171"/>
      <c r="L12" s="172"/>
      <c r="M12" s="173"/>
      <c r="N12" s="180">
        <v>6000000</v>
      </c>
      <c r="P12" s="161">
        <v>18</v>
      </c>
    </row>
    <row r="13" spans="1:16" s="169" customFormat="1" ht="18" customHeight="1">
      <c r="A13" s="261" t="s">
        <v>20</v>
      </c>
      <c r="B13" s="281">
        <v>14.8</v>
      </c>
      <c r="C13" s="160">
        <v>14</v>
      </c>
      <c r="D13" s="181">
        <f t="shared" si="0"/>
        <v>32</v>
      </c>
      <c r="E13" s="178"/>
      <c r="F13" s="160"/>
      <c r="G13" s="160"/>
      <c r="H13" s="163">
        <f aca="true" t="shared" si="3" ref="H13:H27">I13</f>
        <v>50000</v>
      </c>
      <c r="I13" s="164">
        <f t="shared" si="2"/>
        <v>50000</v>
      </c>
      <c r="J13" s="182" t="s">
        <v>106</v>
      </c>
      <c r="K13" s="183"/>
      <c r="L13" s="184"/>
      <c r="M13" s="185">
        <v>1</v>
      </c>
      <c r="N13" s="186">
        <f>N10</f>
        <v>360000</v>
      </c>
      <c r="P13" s="181">
        <v>16</v>
      </c>
    </row>
    <row r="14" spans="1:16" s="169" customFormat="1" ht="18" customHeight="1">
      <c r="A14" s="261" t="s">
        <v>14</v>
      </c>
      <c r="B14" s="281">
        <v>18</v>
      </c>
      <c r="C14" s="160">
        <v>14</v>
      </c>
      <c r="D14" s="181">
        <f t="shared" si="0"/>
        <v>38</v>
      </c>
      <c r="E14" s="162"/>
      <c r="F14" s="160"/>
      <c r="G14" s="160"/>
      <c r="H14" s="163">
        <f t="shared" si="3"/>
        <v>50000</v>
      </c>
      <c r="I14" s="164">
        <f t="shared" si="2"/>
        <v>50000</v>
      </c>
      <c r="J14" s="187"/>
      <c r="K14" s="183"/>
      <c r="L14" s="183"/>
      <c r="M14" s="188"/>
      <c r="N14" s="189"/>
      <c r="P14" s="161">
        <v>19</v>
      </c>
    </row>
    <row r="15" spans="1:16" s="169" customFormat="1" ht="18" customHeight="1">
      <c r="A15" s="261" t="s">
        <v>52</v>
      </c>
      <c r="B15" s="281">
        <v>10.1</v>
      </c>
      <c r="C15" s="161">
        <v>13</v>
      </c>
      <c r="D15" s="181">
        <f t="shared" si="0"/>
        <v>38</v>
      </c>
      <c r="E15" s="64"/>
      <c r="F15" s="160"/>
      <c r="G15" s="160"/>
      <c r="H15" s="163">
        <f t="shared" si="3"/>
        <v>50000</v>
      </c>
      <c r="I15" s="164">
        <f t="shared" si="2"/>
        <v>50000</v>
      </c>
      <c r="J15" s="190"/>
      <c r="K15" s="191"/>
      <c r="L15" s="191"/>
      <c r="M15" s="192"/>
      <c r="N15" s="193"/>
      <c r="P15" s="181">
        <v>19</v>
      </c>
    </row>
    <row r="16" spans="1:16" s="169" customFormat="1" ht="18" customHeight="1">
      <c r="A16" s="261" t="s">
        <v>38</v>
      </c>
      <c r="B16" s="281">
        <v>21.6</v>
      </c>
      <c r="C16" s="160">
        <v>12</v>
      </c>
      <c r="D16" s="181">
        <f t="shared" si="0"/>
        <v>40</v>
      </c>
      <c r="E16" s="64"/>
      <c r="F16" s="64"/>
      <c r="G16" s="64"/>
      <c r="H16" s="163">
        <f t="shared" si="3"/>
        <v>50000</v>
      </c>
      <c r="I16" s="164">
        <f t="shared" si="2"/>
        <v>50000</v>
      </c>
      <c r="P16" s="161">
        <v>20</v>
      </c>
    </row>
    <row r="17" spans="1:16" s="169" customFormat="1" ht="18" customHeight="1">
      <c r="A17" s="261" t="s">
        <v>16</v>
      </c>
      <c r="B17" s="281">
        <v>9.1</v>
      </c>
      <c r="C17" s="160">
        <v>9</v>
      </c>
      <c r="D17" s="181">
        <f t="shared" si="0"/>
        <v>38</v>
      </c>
      <c r="E17" s="162"/>
      <c r="F17" s="64"/>
      <c r="G17" s="64"/>
      <c r="H17" s="163">
        <f t="shared" si="3"/>
        <v>50000</v>
      </c>
      <c r="I17" s="164">
        <f t="shared" si="2"/>
        <v>50000</v>
      </c>
      <c r="J17" s="175"/>
      <c r="K17" s="175"/>
      <c r="L17" s="175"/>
      <c r="M17" s="176"/>
      <c r="P17" s="161">
        <v>19</v>
      </c>
    </row>
    <row r="18" spans="1:13" s="169" customFormat="1" ht="18" customHeight="1">
      <c r="A18" s="261"/>
      <c r="B18" s="281"/>
      <c r="C18" s="160"/>
      <c r="D18" s="181"/>
      <c r="E18" s="64"/>
      <c r="F18" s="160"/>
      <c r="G18" s="160"/>
      <c r="H18" s="163">
        <f t="shared" si="3"/>
        <v>0</v>
      </c>
      <c r="I18" s="164">
        <f t="shared" si="2"/>
        <v>0</v>
      </c>
      <c r="J18" s="176"/>
      <c r="K18" s="176"/>
      <c r="L18" s="176"/>
      <c r="M18" s="176"/>
    </row>
    <row r="19" spans="1:13" s="169" customFormat="1" ht="18" customHeight="1">
      <c r="A19" s="261"/>
      <c r="B19" s="281"/>
      <c r="C19" s="160"/>
      <c r="D19" s="161"/>
      <c r="E19" s="162"/>
      <c r="F19" s="160"/>
      <c r="G19" s="160"/>
      <c r="H19" s="163">
        <f t="shared" si="3"/>
        <v>0</v>
      </c>
      <c r="I19" s="164">
        <f t="shared" si="2"/>
        <v>0</v>
      </c>
      <c r="J19" s="176"/>
      <c r="K19" s="176"/>
      <c r="L19" s="176"/>
      <c r="M19" s="176"/>
    </row>
    <row r="20" spans="1:9" s="144" customFormat="1" ht="18" customHeight="1">
      <c r="A20" s="261"/>
      <c r="B20" s="281"/>
      <c r="C20" s="181"/>
      <c r="D20" s="181"/>
      <c r="E20" s="162"/>
      <c r="F20" s="64"/>
      <c r="G20" s="64"/>
      <c r="H20" s="163">
        <f t="shared" si="3"/>
        <v>0</v>
      </c>
      <c r="I20" s="164">
        <f t="shared" si="2"/>
        <v>0</v>
      </c>
    </row>
    <row r="21" spans="1:9" s="144" customFormat="1" ht="18" customHeight="1">
      <c r="A21" s="261"/>
      <c r="B21" s="281"/>
      <c r="C21" s="160"/>
      <c r="D21" s="181"/>
      <c r="E21" s="64"/>
      <c r="F21" s="64"/>
      <c r="G21" s="64"/>
      <c r="H21" s="163">
        <f t="shared" si="3"/>
        <v>0</v>
      </c>
      <c r="I21" s="164">
        <f t="shared" si="2"/>
        <v>0</v>
      </c>
    </row>
    <row r="22" spans="1:9" s="144" customFormat="1" ht="18" customHeight="1">
      <c r="A22" s="261"/>
      <c r="B22" s="281"/>
      <c r="C22" s="161"/>
      <c r="D22" s="161"/>
      <c r="E22" s="162"/>
      <c r="F22" s="64"/>
      <c r="G22" s="64"/>
      <c r="H22" s="163">
        <f t="shared" si="3"/>
        <v>0</v>
      </c>
      <c r="I22" s="164">
        <f t="shared" si="2"/>
        <v>0</v>
      </c>
    </row>
    <row r="23" spans="1:9" s="144" customFormat="1" ht="18" customHeight="1">
      <c r="A23" s="261"/>
      <c r="B23" s="281"/>
      <c r="C23" s="160"/>
      <c r="D23" s="161"/>
      <c r="E23" s="162"/>
      <c r="F23" s="64"/>
      <c r="G23" s="64"/>
      <c r="H23" s="163">
        <f t="shared" si="3"/>
        <v>0</v>
      </c>
      <c r="I23" s="164">
        <f t="shared" si="2"/>
        <v>0</v>
      </c>
    </row>
    <row r="24" spans="1:9" s="144" customFormat="1" ht="18" customHeight="1">
      <c r="A24" s="261"/>
      <c r="B24" s="281"/>
      <c r="C24" s="161"/>
      <c r="D24" s="161"/>
      <c r="E24" s="162"/>
      <c r="F24" s="64"/>
      <c r="G24" s="64"/>
      <c r="H24" s="163">
        <f t="shared" si="3"/>
        <v>0</v>
      </c>
      <c r="I24" s="164">
        <f t="shared" si="2"/>
        <v>0</v>
      </c>
    </row>
    <row r="25" spans="1:9" s="144" customFormat="1" ht="18" customHeight="1">
      <c r="A25" s="261"/>
      <c r="B25" s="281"/>
      <c r="C25" s="160"/>
      <c r="D25" s="181"/>
      <c r="E25" s="64"/>
      <c r="F25" s="64"/>
      <c r="G25" s="64"/>
      <c r="H25" s="163">
        <f t="shared" si="3"/>
        <v>0</v>
      </c>
      <c r="I25" s="164">
        <f t="shared" si="2"/>
        <v>0</v>
      </c>
    </row>
    <row r="26" spans="1:9" s="144" customFormat="1" ht="18" customHeight="1">
      <c r="A26" s="261"/>
      <c r="B26" s="281"/>
      <c r="C26" s="161"/>
      <c r="D26" s="161"/>
      <c r="E26" s="64"/>
      <c r="F26" s="160"/>
      <c r="G26" s="160"/>
      <c r="H26" s="163">
        <f t="shared" si="3"/>
        <v>0</v>
      </c>
      <c r="I26" s="164">
        <f t="shared" si="2"/>
        <v>0</v>
      </c>
    </row>
    <row r="27" spans="1:9" s="144" customFormat="1" ht="18" customHeight="1">
      <c r="A27" s="261"/>
      <c r="B27" s="281"/>
      <c r="C27" s="160"/>
      <c r="D27" s="181"/>
      <c r="E27" s="162"/>
      <c r="F27" s="160"/>
      <c r="G27" s="160"/>
      <c r="H27" s="163">
        <f t="shared" si="3"/>
        <v>0</v>
      </c>
      <c r="I27" s="164">
        <f t="shared" si="2"/>
        <v>0</v>
      </c>
    </row>
    <row r="28" spans="1:9" ht="24" customHeight="1" thickBot="1">
      <c r="A28" s="1"/>
      <c r="B28" s="3"/>
      <c r="C28" s="196"/>
      <c r="D28" s="198">
        <f>SUM(D4:D27)</f>
        <v>514</v>
      </c>
      <c r="E28" s="196"/>
      <c r="F28" s="3"/>
      <c r="G28" s="198">
        <f>SUM(G4:G27)</f>
        <v>39</v>
      </c>
      <c r="H28" s="198">
        <f>SUM(H4:H27)</f>
        <v>7060000</v>
      </c>
      <c r="I28" s="199"/>
    </row>
    <row r="29" ht="18" thickTop="1"/>
  </sheetData>
  <sheetProtection selectLockedCells="1" selectUnlockedCells="1"/>
  <mergeCells count="2">
    <mergeCell ref="B1:N1"/>
    <mergeCell ref="B2:N2"/>
  </mergeCells>
  <printOptions horizontalCentered="1" verticalCentered="1"/>
  <pageMargins left="0.43333333333333335" right="0.43333333333333335" top="0.5513888888888889" bottom="0.5513888888888889" header="0.5118055555555555" footer="0.5118055555555555"/>
  <pageSetup fitToHeight="1" fitToWidth="1" horizontalDpi="300" verticalDpi="300" orientation="landscape" paperSize="9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workbookViewId="0" topLeftCell="A1">
      <selection activeCell="D10" sqref="D10"/>
    </sheetView>
  </sheetViews>
  <sheetFormatPr defaultColWidth="11.57421875" defaultRowHeight="12.75"/>
  <cols>
    <col min="1" max="1" width="8.421875" style="0" customWidth="1"/>
    <col min="2" max="3" width="11.421875" style="0" customWidth="1"/>
    <col min="4" max="4" width="43.00390625" style="0" customWidth="1"/>
    <col min="5" max="5" width="12.140625" style="0" customWidth="1"/>
    <col min="6" max="6" width="18.28125" style="0" customWidth="1"/>
    <col min="7" max="16384" width="11.421875" style="0" customWidth="1"/>
  </cols>
  <sheetData>
    <row r="1" spans="1:6" ht="27.75">
      <c r="A1" s="450" t="s">
        <v>188</v>
      </c>
      <c r="B1" s="450"/>
      <c r="C1" s="450"/>
      <c r="D1" s="450"/>
      <c r="E1" s="450"/>
      <c r="F1" s="450"/>
    </row>
    <row r="2" spans="1:6" ht="15.75" customHeight="1">
      <c r="A2" s="215"/>
      <c r="B2" s="216"/>
      <c r="C2" s="216"/>
      <c r="D2" s="216"/>
      <c r="E2" s="216"/>
      <c r="F2" s="216"/>
    </row>
    <row r="3" spans="1:6" ht="15.75" customHeight="1">
      <c r="A3" s="451" t="s">
        <v>200</v>
      </c>
      <c r="B3" s="451"/>
      <c r="C3" s="451"/>
      <c r="D3" s="451"/>
      <c r="E3" s="451"/>
      <c r="F3" s="451"/>
    </row>
    <row r="4" spans="1:6" ht="15.75" customHeight="1">
      <c r="A4" s="449" t="s">
        <v>145</v>
      </c>
      <c r="B4" s="449"/>
      <c r="C4" s="449"/>
      <c r="D4" s="449"/>
      <c r="E4" s="449"/>
      <c r="F4" s="449"/>
    </row>
    <row r="5" spans="1:7" s="61" customFormat="1" ht="15.75" customHeight="1">
      <c r="A5" s="217" t="s">
        <v>82</v>
      </c>
      <c r="B5" s="217" t="s">
        <v>146</v>
      </c>
      <c r="C5" s="217" t="s">
        <v>147</v>
      </c>
      <c r="D5" s="217" t="s">
        <v>148</v>
      </c>
      <c r="E5" s="217" t="s">
        <v>149</v>
      </c>
      <c r="F5" s="217" t="s">
        <v>150</v>
      </c>
      <c r="G5" s="217"/>
    </row>
    <row r="6" spans="1:6" ht="15.75" customHeight="1">
      <c r="A6" s="218">
        <v>41700</v>
      </c>
      <c r="B6" s="222">
        <v>0.4166666666666667</v>
      </c>
      <c r="C6" s="220" t="s">
        <v>112</v>
      </c>
      <c r="D6" s="221" t="s">
        <v>191</v>
      </c>
      <c r="E6" s="220" t="s">
        <v>151</v>
      </c>
      <c r="F6" s="221" t="s">
        <v>152</v>
      </c>
    </row>
    <row r="7" spans="1:6" ht="15.75" customHeight="1">
      <c r="A7" s="218">
        <v>41707</v>
      </c>
      <c r="B7" s="222">
        <v>0.4166666666666667</v>
      </c>
      <c r="C7" s="220" t="s">
        <v>112</v>
      </c>
      <c r="D7" s="221" t="s">
        <v>153</v>
      </c>
      <c r="E7" s="220" t="s">
        <v>151</v>
      </c>
      <c r="F7" s="221" t="s">
        <v>152</v>
      </c>
    </row>
    <row r="8" spans="1:6" ht="15.75" customHeight="1">
      <c r="A8" s="452" t="s">
        <v>154</v>
      </c>
      <c r="B8" s="452"/>
      <c r="C8" s="452"/>
      <c r="D8" s="452"/>
      <c r="E8" s="452"/>
      <c r="F8" s="452"/>
    </row>
    <row r="9" spans="1:6" ht="15.75" customHeight="1">
      <c r="A9" s="218">
        <v>41711</v>
      </c>
      <c r="B9" s="222">
        <v>0.6666666666666666</v>
      </c>
      <c r="C9" s="223">
        <v>5000000</v>
      </c>
      <c r="D9" s="221" t="s">
        <v>192</v>
      </c>
      <c r="E9" s="220" t="s">
        <v>151</v>
      </c>
      <c r="F9" s="221" t="s">
        <v>155</v>
      </c>
    </row>
    <row r="10" spans="1:6" ht="15.75" customHeight="1">
      <c r="A10" s="218">
        <v>41718</v>
      </c>
      <c r="B10" s="222">
        <v>0.6666666666666666</v>
      </c>
      <c r="C10" s="223">
        <v>5000000</v>
      </c>
      <c r="D10" s="221" t="s">
        <v>144</v>
      </c>
      <c r="E10" s="220" t="s">
        <v>151</v>
      </c>
      <c r="F10" s="221" t="s">
        <v>155</v>
      </c>
    </row>
    <row r="11" spans="1:6" ht="15.75" customHeight="1">
      <c r="A11" s="218">
        <v>41725</v>
      </c>
      <c r="B11" s="222">
        <v>0.6666666666666666</v>
      </c>
      <c r="C11" s="223">
        <v>6000000</v>
      </c>
      <c r="D11" s="221" t="s">
        <v>142</v>
      </c>
      <c r="E11" s="220" t="s">
        <v>151</v>
      </c>
      <c r="F11" s="221"/>
    </row>
    <row r="12" spans="1:6" ht="15.75" customHeight="1">
      <c r="A12" s="218">
        <v>41732</v>
      </c>
      <c r="B12" s="222">
        <v>0.6666666666666666</v>
      </c>
      <c r="C12" s="223">
        <v>6000000</v>
      </c>
      <c r="D12" s="221" t="s">
        <v>143</v>
      </c>
      <c r="E12" s="220" t="s">
        <v>151</v>
      </c>
      <c r="F12" s="221" t="s">
        <v>156</v>
      </c>
    </row>
    <row r="13" spans="1:6" ht="15.75" customHeight="1">
      <c r="A13" s="218">
        <v>41739</v>
      </c>
      <c r="B13" s="222">
        <v>0.6666666666666666</v>
      </c>
      <c r="C13" s="223">
        <v>8000000</v>
      </c>
      <c r="D13" s="224" t="s">
        <v>157</v>
      </c>
      <c r="E13" s="220" t="s">
        <v>151</v>
      </c>
      <c r="F13" s="221"/>
    </row>
    <row r="14" spans="1:5" ht="15.75" customHeight="1">
      <c r="A14" s="218">
        <v>41746</v>
      </c>
      <c r="B14" s="222">
        <v>0.3333333333333333</v>
      </c>
      <c r="C14" s="223">
        <v>6000000</v>
      </c>
      <c r="D14" s="221" t="s">
        <v>140</v>
      </c>
      <c r="E14" s="220" t="s">
        <v>151</v>
      </c>
    </row>
    <row r="15" spans="1:6" ht="15.75" customHeight="1">
      <c r="A15" s="218">
        <v>41753</v>
      </c>
      <c r="B15" s="222">
        <v>0.6666666666666666</v>
      </c>
      <c r="C15" s="223">
        <v>6000000</v>
      </c>
      <c r="D15" s="221" t="s">
        <v>139</v>
      </c>
      <c r="E15" s="220" t="s">
        <v>151</v>
      </c>
      <c r="F15" s="275" t="s">
        <v>201</v>
      </c>
    </row>
    <row r="16" spans="1:6" ht="15.75" customHeight="1">
      <c r="A16" s="218">
        <v>41760</v>
      </c>
      <c r="B16" s="222">
        <v>0.6666666666666666</v>
      </c>
      <c r="C16" s="223">
        <v>6000000</v>
      </c>
      <c r="D16" s="221" t="s">
        <v>138</v>
      </c>
      <c r="E16" s="220" t="s">
        <v>151</v>
      </c>
      <c r="F16" s="221" t="s">
        <v>156</v>
      </c>
    </row>
    <row r="17" spans="1:6" ht="15.75" customHeight="1">
      <c r="A17" s="218">
        <v>41767</v>
      </c>
      <c r="B17" s="222">
        <v>0.6666666666666666</v>
      </c>
      <c r="C17" s="223">
        <v>8000000</v>
      </c>
      <c r="D17" s="224" t="s">
        <v>158</v>
      </c>
      <c r="E17" s="220" t="s">
        <v>159</v>
      </c>
      <c r="F17" s="221"/>
    </row>
    <row r="18" spans="1:5" ht="15.75" customHeight="1">
      <c r="A18" s="218">
        <v>41774</v>
      </c>
      <c r="B18" s="222">
        <v>0.6666666666666666</v>
      </c>
      <c r="C18" s="223">
        <v>6000000</v>
      </c>
      <c r="D18" s="221" t="s">
        <v>136</v>
      </c>
      <c r="E18" s="220" t="s">
        <v>151</v>
      </c>
    </row>
    <row r="19" spans="1:6" ht="15.75" customHeight="1">
      <c r="A19" s="218">
        <v>41781</v>
      </c>
      <c r="B19" s="222">
        <v>0.6666666666666666</v>
      </c>
      <c r="C19" s="223">
        <v>6000000</v>
      </c>
      <c r="D19" s="221" t="s">
        <v>135</v>
      </c>
      <c r="E19" s="220" t="s">
        <v>151</v>
      </c>
      <c r="F19" s="275" t="s">
        <v>202</v>
      </c>
    </row>
    <row r="20" spans="1:6" ht="15.75" customHeight="1">
      <c r="A20" s="218">
        <v>41788</v>
      </c>
      <c r="B20" s="222">
        <v>0.3333333333333333</v>
      </c>
      <c r="C20" s="223">
        <v>6000000</v>
      </c>
      <c r="D20" s="221" t="s">
        <v>160</v>
      </c>
      <c r="E20" s="220" t="s">
        <v>151</v>
      </c>
      <c r="F20" s="221"/>
    </row>
    <row r="21" spans="1:6" ht="15.75" customHeight="1">
      <c r="A21" s="218">
        <v>41795</v>
      </c>
      <c r="B21" s="222">
        <v>0.6666666666666666</v>
      </c>
      <c r="C21" s="223">
        <v>6000000</v>
      </c>
      <c r="D21" s="221" t="s">
        <v>132</v>
      </c>
      <c r="E21" s="220" t="s">
        <v>151</v>
      </c>
      <c r="F21" s="221" t="s">
        <v>156</v>
      </c>
    </row>
    <row r="22" spans="1:6" ht="15.75" customHeight="1">
      <c r="A22" s="218">
        <v>41802</v>
      </c>
      <c r="B22" s="222">
        <v>0.6666666666666666</v>
      </c>
      <c r="C22" s="223">
        <v>8000000</v>
      </c>
      <c r="D22" s="224" t="s">
        <v>161</v>
      </c>
      <c r="E22" s="220" t="s">
        <v>159</v>
      </c>
      <c r="F22" s="221"/>
    </row>
    <row r="23" spans="1:6" ht="15.75" customHeight="1">
      <c r="A23" s="218">
        <v>41809</v>
      </c>
      <c r="B23" s="222">
        <v>0.6666666666666666</v>
      </c>
      <c r="C23" s="223">
        <v>6000000</v>
      </c>
      <c r="D23" s="221" t="s">
        <v>130</v>
      </c>
      <c r="E23" s="220" t="s">
        <v>151</v>
      </c>
      <c r="F23" s="221"/>
    </row>
    <row r="24" spans="1:6" ht="15.75" customHeight="1">
      <c r="A24" s="218">
        <v>41816</v>
      </c>
      <c r="B24" s="222">
        <v>0.6666666666666666</v>
      </c>
      <c r="C24" s="223">
        <v>6000000</v>
      </c>
      <c r="D24" s="221" t="s">
        <v>293</v>
      </c>
      <c r="E24" s="220" t="s">
        <v>151</v>
      </c>
      <c r="F24" s="221"/>
    </row>
    <row r="25" spans="1:6" ht="15.75" customHeight="1">
      <c r="A25" s="218">
        <v>41823</v>
      </c>
      <c r="B25" s="222">
        <v>0.6666666666666666</v>
      </c>
      <c r="C25" s="223">
        <v>6000000</v>
      </c>
      <c r="D25" s="221" t="s">
        <v>162</v>
      </c>
      <c r="E25" s="220" t="s">
        <v>159</v>
      </c>
      <c r="F25" s="221" t="s">
        <v>156</v>
      </c>
    </row>
    <row r="26" spans="1:6" ht="15.75" customHeight="1">
      <c r="A26" s="218">
        <v>41830</v>
      </c>
      <c r="B26" s="222">
        <v>0.6666666666666666</v>
      </c>
      <c r="C26" s="223">
        <v>6000000</v>
      </c>
      <c r="D26" s="221" t="s">
        <v>127</v>
      </c>
      <c r="E26" s="220" t="s">
        <v>151</v>
      </c>
      <c r="F26" s="221"/>
    </row>
    <row r="27" spans="1:5" ht="15.75" customHeight="1">
      <c r="A27" s="218">
        <v>41837</v>
      </c>
      <c r="B27" s="222">
        <v>0.6666666666666666</v>
      </c>
      <c r="C27" s="223">
        <v>8000000</v>
      </c>
      <c r="D27" s="224" t="s">
        <v>163</v>
      </c>
      <c r="E27" s="220" t="s">
        <v>151</v>
      </c>
    </row>
    <row r="28" spans="1:6" ht="15.75" customHeight="1">
      <c r="A28" s="218">
        <v>41844</v>
      </c>
      <c r="B28" s="222">
        <v>0.6666666666666666</v>
      </c>
      <c r="C28" s="223">
        <v>6000000</v>
      </c>
      <c r="D28" s="221" t="s">
        <v>124</v>
      </c>
      <c r="E28" s="220" t="s">
        <v>151</v>
      </c>
      <c r="F28" s="275"/>
    </row>
    <row r="29" spans="1:6" ht="15.75" customHeight="1">
      <c r="A29" s="218">
        <v>41851</v>
      </c>
      <c r="B29" s="222">
        <v>0.6666666666666666</v>
      </c>
      <c r="C29" s="223">
        <v>6000000</v>
      </c>
      <c r="D29" s="221" t="s">
        <v>165</v>
      </c>
      <c r="E29" s="220" t="s">
        <v>151</v>
      </c>
      <c r="F29" s="275" t="s">
        <v>203</v>
      </c>
    </row>
    <row r="30" spans="1:6" ht="15.75" customHeight="1">
      <c r="A30" s="218">
        <v>41858</v>
      </c>
      <c r="B30" s="222">
        <v>0.6666666666666666</v>
      </c>
      <c r="C30" s="223">
        <v>8000000</v>
      </c>
      <c r="D30" s="224" t="s">
        <v>166</v>
      </c>
      <c r="E30" s="220" t="s">
        <v>159</v>
      </c>
      <c r="F30" s="221" t="s">
        <v>156</v>
      </c>
    </row>
    <row r="31" spans="1:5" ht="15.75" customHeight="1">
      <c r="A31" s="218">
        <v>41865</v>
      </c>
      <c r="B31" s="222">
        <v>0.6666666666666666</v>
      </c>
      <c r="C31" s="223">
        <v>6000000</v>
      </c>
      <c r="D31" s="221" t="s">
        <v>195</v>
      </c>
      <c r="E31" s="220" t="s">
        <v>151</v>
      </c>
    </row>
    <row r="32" spans="1:6" ht="15.75" customHeight="1">
      <c r="A32" s="218">
        <v>41872</v>
      </c>
      <c r="B32" s="222">
        <v>0.6666666666666666</v>
      </c>
      <c r="C32" s="223">
        <v>6000000</v>
      </c>
      <c r="D32" s="221" t="s">
        <v>119</v>
      </c>
      <c r="E32" s="220" t="s">
        <v>164</v>
      </c>
      <c r="F32" s="275" t="s">
        <v>205</v>
      </c>
    </row>
    <row r="33" spans="1:6" ht="15.75" customHeight="1">
      <c r="A33" s="218">
        <v>41879</v>
      </c>
      <c r="B33" s="222">
        <v>0.6666666666666666</v>
      </c>
      <c r="C33" s="223">
        <v>6000000</v>
      </c>
      <c r="D33" s="221" t="s">
        <v>118</v>
      </c>
      <c r="E33" s="220" t="s">
        <v>151</v>
      </c>
      <c r="F33" s="275" t="s">
        <v>204</v>
      </c>
    </row>
    <row r="34" spans="1:6" ht="15.75" customHeight="1">
      <c r="A34" s="218">
        <v>41886</v>
      </c>
      <c r="B34" s="222">
        <v>0.6666666666666666</v>
      </c>
      <c r="C34" s="223">
        <v>6000000</v>
      </c>
      <c r="D34" s="221" t="s">
        <v>111</v>
      </c>
      <c r="E34" s="220" t="s">
        <v>151</v>
      </c>
      <c r="F34" s="221" t="s">
        <v>156</v>
      </c>
    </row>
    <row r="35" spans="1:6" ht="15.75" customHeight="1">
      <c r="A35" s="218">
        <v>41893</v>
      </c>
      <c r="B35" s="222">
        <v>0.6666666666666666</v>
      </c>
      <c r="C35" s="223">
        <v>6000000</v>
      </c>
      <c r="D35" s="221" t="s">
        <v>193</v>
      </c>
      <c r="E35" s="220" t="s">
        <v>151</v>
      </c>
      <c r="F35" s="221"/>
    </row>
    <row r="36" spans="1:6" ht="15.75" customHeight="1">
      <c r="A36" s="452" t="s">
        <v>167</v>
      </c>
      <c r="B36" s="452"/>
      <c r="C36" s="452"/>
      <c r="D36" s="452"/>
      <c r="E36" s="452"/>
      <c r="F36" s="452"/>
    </row>
    <row r="37" spans="1:6" ht="15.75" customHeight="1">
      <c r="A37" s="225" t="s">
        <v>82</v>
      </c>
      <c r="B37" s="217" t="s">
        <v>146</v>
      </c>
      <c r="C37" s="217" t="s">
        <v>147</v>
      </c>
      <c r="D37" s="224" t="s">
        <v>148</v>
      </c>
      <c r="E37" s="217" t="s">
        <v>149</v>
      </c>
      <c r="F37" s="224" t="s">
        <v>150</v>
      </c>
    </row>
    <row r="38" spans="1:6" ht="15.75" customHeight="1">
      <c r="A38" s="218">
        <v>41900</v>
      </c>
      <c r="B38" s="222">
        <v>0.6666666666666666</v>
      </c>
      <c r="C38" s="223">
        <v>5000000</v>
      </c>
      <c r="D38" s="221" t="s">
        <v>196</v>
      </c>
      <c r="E38" s="220" t="s">
        <v>151</v>
      </c>
      <c r="F38" s="221" t="s">
        <v>155</v>
      </c>
    </row>
    <row r="39" spans="1:6" ht="15.75" customHeight="1">
      <c r="A39" s="218">
        <v>41907</v>
      </c>
      <c r="B39" s="222">
        <v>0.6666666666666666</v>
      </c>
      <c r="C39" s="223">
        <v>5000000</v>
      </c>
      <c r="D39" s="221" t="s">
        <v>194</v>
      </c>
      <c r="E39" s="220" t="s">
        <v>151</v>
      </c>
      <c r="F39" s="221" t="s">
        <v>155</v>
      </c>
    </row>
    <row r="40" spans="1:6" ht="15.75" customHeight="1">
      <c r="A40" s="218">
        <v>41914</v>
      </c>
      <c r="B40" s="222">
        <v>0.6666666666666666</v>
      </c>
      <c r="C40" s="223">
        <v>5000000</v>
      </c>
      <c r="D40" s="221" t="s">
        <v>86</v>
      </c>
      <c r="E40" s="220" t="s">
        <v>151</v>
      </c>
      <c r="F40" s="221" t="s">
        <v>155</v>
      </c>
    </row>
    <row r="41" spans="1:6" ht="15.75" customHeight="1">
      <c r="A41" s="218">
        <v>41923</v>
      </c>
      <c r="B41" s="222">
        <v>0.3333333333333333</v>
      </c>
      <c r="C41" s="223">
        <v>10000000</v>
      </c>
      <c r="D41" s="221" t="s">
        <v>189</v>
      </c>
      <c r="E41" s="220" t="s">
        <v>151</v>
      </c>
      <c r="F41" s="221" t="s">
        <v>168</v>
      </c>
    </row>
    <row r="42" spans="1:6" ht="15.75" customHeight="1">
      <c r="A42" s="449" t="s">
        <v>169</v>
      </c>
      <c r="B42" s="449"/>
      <c r="C42" s="449"/>
      <c r="D42" s="449"/>
      <c r="E42" s="449"/>
      <c r="F42" s="449"/>
    </row>
    <row r="43" spans="1:6" ht="15.75" customHeight="1">
      <c r="A43" s="218">
        <v>41811</v>
      </c>
      <c r="B43" s="220" t="s">
        <v>170</v>
      </c>
      <c r="C43" s="220" t="s">
        <v>171</v>
      </c>
      <c r="D43" s="221" t="s">
        <v>134</v>
      </c>
      <c r="E43" s="220" t="s">
        <v>172</v>
      </c>
      <c r="F43" s="221" t="s">
        <v>173</v>
      </c>
    </row>
    <row r="44" spans="1:6" ht="15.75" customHeight="1">
      <c r="A44" s="218">
        <v>41888</v>
      </c>
      <c r="B44" s="222">
        <v>0.19791666666666666</v>
      </c>
      <c r="C44" s="220" t="s">
        <v>171</v>
      </c>
      <c r="D44" s="221" t="s">
        <v>206</v>
      </c>
      <c r="E44" s="220" t="s">
        <v>172</v>
      </c>
      <c r="F44" s="221" t="s">
        <v>173</v>
      </c>
    </row>
    <row r="45" spans="1:6" ht="15.75" customHeight="1">
      <c r="A45" s="220"/>
      <c r="B45" s="221"/>
      <c r="C45" s="221"/>
      <c r="D45" s="221"/>
      <c r="E45" s="221"/>
      <c r="F45" s="221"/>
    </row>
    <row r="46" spans="1:6" ht="15.75" customHeight="1">
      <c r="A46" s="449" t="s">
        <v>174</v>
      </c>
      <c r="B46" s="449"/>
      <c r="C46" s="449"/>
      <c r="D46" s="449"/>
      <c r="E46" s="449"/>
      <c r="F46" s="449"/>
    </row>
    <row r="47" spans="1:6" ht="15.75" customHeight="1">
      <c r="A47" s="218">
        <v>41935</v>
      </c>
      <c r="B47" s="221"/>
      <c r="C47" s="221"/>
      <c r="D47" s="221" t="s">
        <v>175</v>
      </c>
      <c r="E47" s="221"/>
      <c r="F47" s="221" t="s">
        <v>176</v>
      </c>
    </row>
  </sheetData>
  <sheetProtection selectLockedCells="1" selectUnlockedCells="1"/>
  <mergeCells count="7">
    <mergeCell ref="A46:F46"/>
    <mergeCell ref="A1:F1"/>
    <mergeCell ref="A3:F3"/>
    <mergeCell ref="A4:F4"/>
    <mergeCell ref="A8:F8"/>
    <mergeCell ref="A36:F36"/>
    <mergeCell ref="A42:F42"/>
  </mergeCells>
  <hyperlinks>
    <hyperlink ref="D9" location="'13-03'!A3" display="Valspar Championship"/>
  </hyperlinks>
  <printOptions/>
  <pageMargins left="0.75" right="0.75" top="1" bottom="1" header="0.5118055555555555" footer="0.5118055555555555"/>
  <pageSetup fitToHeight="1" fitToWidth="1" horizontalDpi="300" verticalDpi="300" orientation="portrait" paperSize="9" scale="77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workbookViewId="0" topLeftCell="A1">
      <selection activeCell="F51" sqref="F51"/>
    </sheetView>
  </sheetViews>
  <sheetFormatPr defaultColWidth="11.57421875" defaultRowHeight="12.75"/>
  <cols>
    <col min="1" max="1" width="8.421875" style="0" customWidth="1"/>
    <col min="2" max="3" width="11.421875" style="0" customWidth="1"/>
    <col min="4" max="4" width="43.00390625" style="0" customWidth="1"/>
    <col min="5" max="5" width="12.140625" style="0" customWidth="1"/>
    <col min="6" max="6" width="10.28125" style="0" bestFit="1" customWidth="1"/>
    <col min="7" max="7" width="18.28125" style="0" customWidth="1"/>
    <col min="8" max="16384" width="11.421875" style="0" customWidth="1"/>
  </cols>
  <sheetData>
    <row r="1" spans="1:7" ht="27.75">
      <c r="A1" s="450" t="s">
        <v>188</v>
      </c>
      <c r="B1" s="450"/>
      <c r="C1" s="450"/>
      <c r="D1" s="450"/>
      <c r="E1" s="450"/>
      <c r="F1" s="450"/>
      <c r="G1" s="450"/>
    </row>
    <row r="2" spans="1:7" ht="15.75" customHeight="1">
      <c r="A2" s="215"/>
      <c r="B2" s="216"/>
      <c r="C2" s="216"/>
      <c r="D2" s="216"/>
      <c r="E2" s="216"/>
      <c r="F2" s="216"/>
      <c r="G2" s="216"/>
    </row>
    <row r="3" spans="1:7" ht="15.75" customHeight="1">
      <c r="A3" s="451" t="s">
        <v>200</v>
      </c>
      <c r="B3" s="451"/>
      <c r="C3" s="451"/>
      <c r="D3" s="451"/>
      <c r="E3" s="451"/>
      <c r="F3" s="451"/>
      <c r="G3" s="451"/>
    </row>
    <row r="4" spans="1:7" ht="15.75" customHeight="1">
      <c r="A4" s="449" t="s">
        <v>145</v>
      </c>
      <c r="B4" s="449"/>
      <c r="C4" s="449"/>
      <c r="D4" s="449"/>
      <c r="E4" s="449"/>
      <c r="F4" s="449"/>
      <c r="G4" s="449"/>
    </row>
    <row r="5" spans="1:8" s="61" customFormat="1" ht="15.75" customHeight="1">
      <c r="A5" s="217" t="s">
        <v>82</v>
      </c>
      <c r="B5" s="217" t="s">
        <v>146</v>
      </c>
      <c r="C5" s="217" t="s">
        <v>147</v>
      </c>
      <c r="D5" s="217" t="s">
        <v>148</v>
      </c>
      <c r="E5" s="217" t="s">
        <v>149</v>
      </c>
      <c r="F5" s="217" t="s">
        <v>181</v>
      </c>
      <c r="G5" s="217" t="s">
        <v>150</v>
      </c>
      <c r="H5" s="217"/>
    </row>
    <row r="6" spans="1:7" ht="15.75" customHeight="1">
      <c r="A6" s="218">
        <v>41700</v>
      </c>
      <c r="B6" s="222">
        <v>0.4166666666666667</v>
      </c>
      <c r="C6" s="220" t="s">
        <v>112</v>
      </c>
      <c r="D6" s="221" t="s">
        <v>191</v>
      </c>
      <c r="E6" s="220" t="s">
        <v>151</v>
      </c>
      <c r="F6" s="220"/>
      <c r="G6" s="221" t="s">
        <v>152</v>
      </c>
    </row>
    <row r="7" spans="1:7" ht="15.75" customHeight="1">
      <c r="A7" s="218">
        <v>41707</v>
      </c>
      <c r="B7" s="222">
        <v>0.4166666666666667</v>
      </c>
      <c r="C7" s="220" t="s">
        <v>112</v>
      </c>
      <c r="D7" s="221" t="s">
        <v>153</v>
      </c>
      <c r="E7" s="220" t="s">
        <v>151</v>
      </c>
      <c r="F7" s="220"/>
      <c r="G7" s="221" t="s">
        <v>152</v>
      </c>
    </row>
    <row r="8" spans="1:7" ht="15.75" customHeight="1">
      <c r="A8" s="452" t="s">
        <v>154</v>
      </c>
      <c r="B8" s="452"/>
      <c r="C8" s="452"/>
      <c r="D8" s="452"/>
      <c r="E8" s="452"/>
      <c r="F8" s="452"/>
      <c r="G8" s="452"/>
    </row>
    <row r="9" spans="1:7" ht="15.75" customHeight="1">
      <c r="A9" s="218">
        <v>41711</v>
      </c>
      <c r="B9" s="222">
        <v>0.6666666666666666</v>
      </c>
      <c r="C9" s="223">
        <v>5000000</v>
      </c>
      <c r="D9" s="285" t="s">
        <v>192</v>
      </c>
      <c r="E9" s="220" t="s">
        <v>151</v>
      </c>
      <c r="F9" s="220" t="s">
        <v>182</v>
      </c>
      <c r="G9" s="221" t="s">
        <v>155</v>
      </c>
    </row>
    <row r="10" spans="1:7" ht="15.75" customHeight="1">
      <c r="A10" s="218">
        <v>41718</v>
      </c>
      <c r="B10" s="222">
        <v>0.6666666666666666</v>
      </c>
      <c r="C10" s="223">
        <v>5000000</v>
      </c>
      <c r="D10" s="221" t="s">
        <v>144</v>
      </c>
      <c r="E10" s="220" t="s">
        <v>151</v>
      </c>
      <c r="F10" s="220" t="s">
        <v>182</v>
      </c>
      <c r="G10" s="221" t="s">
        <v>155</v>
      </c>
    </row>
    <row r="11" spans="1:7" ht="15.75" customHeight="1">
      <c r="A11" s="218">
        <v>41725</v>
      </c>
      <c r="B11" s="222">
        <v>0.6666666666666666</v>
      </c>
      <c r="C11" s="223">
        <v>6000000</v>
      </c>
      <c r="D11" s="221" t="s">
        <v>142</v>
      </c>
      <c r="E11" s="220" t="s">
        <v>151</v>
      </c>
      <c r="F11" s="220" t="s">
        <v>182</v>
      </c>
      <c r="G11" s="221"/>
    </row>
    <row r="12" spans="1:7" ht="15.75" customHeight="1">
      <c r="A12" s="218">
        <v>41732</v>
      </c>
      <c r="B12" s="222">
        <v>0.6666666666666666</v>
      </c>
      <c r="C12" s="223">
        <v>6000000</v>
      </c>
      <c r="D12" s="221" t="s">
        <v>143</v>
      </c>
      <c r="E12" s="220" t="s">
        <v>151</v>
      </c>
      <c r="F12" s="220" t="s">
        <v>185</v>
      </c>
      <c r="G12" s="221" t="s">
        <v>156</v>
      </c>
    </row>
    <row r="13" spans="1:7" ht="15.75" customHeight="1">
      <c r="A13" s="218">
        <v>41739</v>
      </c>
      <c r="B13" s="222">
        <v>0.6666666666666666</v>
      </c>
      <c r="C13" s="223">
        <v>8000000</v>
      </c>
      <c r="D13" s="224" t="s">
        <v>157</v>
      </c>
      <c r="E13" s="220" t="s">
        <v>151</v>
      </c>
      <c r="F13" s="220" t="s">
        <v>183</v>
      </c>
      <c r="G13" s="221"/>
    </row>
    <row r="14" spans="1:6" ht="15.75" customHeight="1">
      <c r="A14" s="218">
        <v>41746</v>
      </c>
      <c r="B14" s="222">
        <v>0.3333333333333333</v>
      </c>
      <c r="C14" s="223">
        <v>6000000</v>
      </c>
      <c r="D14" s="221" t="s">
        <v>140</v>
      </c>
      <c r="E14" s="220" t="s">
        <v>151</v>
      </c>
      <c r="F14" s="220" t="s">
        <v>185</v>
      </c>
    </row>
    <row r="15" spans="1:7" ht="15.75" customHeight="1">
      <c r="A15" s="218">
        <v>41753</v>
      </c>
      <c r="B15" s="222">
        <v>0.6666666666666666</v>
      </c>
      <c r="C15" s="223">
        <v>6000000</v>
      </c>
      <c r="D15" s="221" t="s">
        <v>139</v>
      </c>
      <c r="E15" s="220" t="s">
        <v>151</v>
      </c>
      <c r="F15" s="220" t="s">
        <v>185</v>
      </c>
      <c r="G15" s="275" t="s">
        <v>201</v>
      </c>
    </row>
    <row r="16" spans="1:7" ht="15.75" customHeight="1">
      <c r="A16" s="218">
        <v>41760</v>
      </c>
      <c r="B16" s="222">
        <v>0.6666666666666666</v>
      </c>
      <c r="C16" s="223">
        <v>6000000</v>
      </c>
      <c r="D16" s="221" t="s">
        <v>138</v>
      </c>
      <c r="E16" s="220" t="s">
        <v>151</v>
      </c>
      <c r="F16" s="220" t="s">
        <v>183</v>
      </c>
      <c r="G16" s="221" t="s">
        <v>156</v>
      </c>
    </row>
    <row r="17" spans="1:7" ht="15.75" customHeight="1">
      <c r="A17" s="218">
        <v>41767</v>
      </c>
      <c r="B17" s="222">
        <v>0.6666666666666666</v>
      </c>
      <c r="C17" s="223">
        <v>8000000</v>
      </c>
      <c r="D17" s="224" t="s">
        <v>158</v>
      </c>
      <c r="E17" s="220" t="s">
        <v>159</v>
      </c>
      <c r="F17" s="220" t="s">
        <v>184</v>
      </c>
      <c r="G17" s="221"/>
    </row>
    <row r="18" spans="1:6" ht="15.75" customHeight="1">
      <c r="A18" s="218">
        <v>41774</v>
      </c>
      <c r="B18" s="222">
        <v>0.6666666666666666</v>
      </c>
      <c r="C18" s="223">
        <v>6000000</v>
      </c>
      <c r="D18" s="221" t="s">
        <v>136</v>
      </c>
      <c r="E18" s="220" t="s">
        <v>151</v>
      </c>
      <c r="F18" s="220" t="s">
        <v>185</v>
      </c>
    </row>
    <row r="19" spans="1:7" ht="15.75" customHeight="1">
      <c r="A19" s="218">
        <v>41781</v>
      </c>
      <c r="B19" s="222">
        <v>0.6666666666666666</v>
      </c>
      <c r="C19" s="223">
        <v>6000000</v>
      </c>
      <c r="D19" s="221" t="s">
        <v>135</v>
      </c>
      <c r="E19" s="220" t="s">
        <v>151</v>
      </c>
      <c r="F19" s="220" t="s">
        <v>183</v>
      </c>
      <c r="G19" s="275" t="s">
        <v>202</v>
      </c>
    </row>
    <row r="20" spans="1:7" ht="15.75" customHeight="1">
      <c r="A20" s="218">
        <v>41788</v>
      </c>
      <c r="B20" s="222">
        <v>0.3333333333333333</v>
      </c>
      <c r="C20" s="223">
        <v>6000000</v>
      </c>
      <c r="D20" s="221" t="s">
        <v>160</v>
      </c>
      <c r="E20" s="220" t="s">
        <v>151</v>
      </c>
      <c r="F20" s="220" t="s">
        <v>185</v>
      </c>
      <c r="G20" s="221"/>
    </row>
    <row r="21" spans="1:7" ht="15.75" customHeight="1">
      <c r="A21" s="218">
        <v>41795</v>
      </c>
      <c r="B21" s="222">
        <v>0.6666666666666666</v>
      </c>
      <c r="C21" s="223">
        <v>6000000</v>
      </c>
      <c r="D21" s="221" t="s">
        <v>132</v>
      </c>
      <c r="E21" s="220" t="s">
        <v>151</v>
      </c>
      <c r="F21" s="220" t="s">
        <v>183</v>
      </c>
      <c r="G21" s="221" t="s">
        <v>156</v>
      </c>
    </row>
    <row r="22" spans="1:7" ht="15.75" customHeight="1">
      <c r="A22" s="218">
        <v>41802</v>
      </c>
      <c r="B22" s="222">
        <v>0.6666666666666666</v>
      </c>
      <c r="C22" s="223">
        <v>8000000</v>
      </c>
      <c r="D22" s="224" t="s">
        <v>161</v>
      </c>
      <c r="E22" s="220" t="s">
        <v>159</v>
      </c>
      <c r="F22" s="220" t="s">
        <v>183</v>
      </c>
      <c r="G22" s="221"/>
    </row>
    <row r="23" spans="1:7" ht="15.75" customHeight="1">
      <c r="A23" s="218">
        <v>41809</v>
      </c>
      <c r="B23" s="222">
        <v>0.6666666666666666</v>
      </c>
      <c r="C23" s="223">
        <v>6000000</v>
      </c>
      <c r="D23" s="221" t="s">
        <v>130</v>
      </c>
      <c r="E23" s="220" t="s">
        <v>151</v>
      </c>
      <c r="F23" s="220" t="s">
        <v>184</v>
      </c>
      <c r="G23" s="221"/>
    </row>
    <row r="24" spans="1:7" ht="15.75" customHeight="1">
      <c r="A24" s="218">
        <v>41816</v>
      </c>
      <c r="B24" s="222">
        <v>0.6666666666666666</v>
      </c>
      <c r="C24" s="223">
        <v>6000000</v>
      </c>
      <c r="D24" s="221" t="s">
        <v>129</v>
      </c>
      <c r="E24" s="220" t="s">
        <v>151</v>
      </c>
      <c r="F24" s="220" t="s">
        <v>185</v>
      </c>
      <c r="G24" s="221"/>
    </row>
    <row r="25" spans="1:7" ht="15.75" customHeight="1">
      <c r="A25" s="218">
        <v>41823</v>
      </c>
      <c r="B25" s="222">
        <v>0.6666666666666666</v>
      </c>
      <c r="C25" s="223">
        <v>6000000</v>
      </c>
      <c r="D25" s="221" t="s">
        <v>162</v>
      </c>
      <c r="E25" s="220" t="s">
        <v>159</v>
      </c>
      <c r="F25" s="220" t="s">
        <v>183</v>
      </c>
      <c r="G25" s="221" t="s">
        <v>156</v>
      </c>
    </row>
    <row r="26" spans="1:7" ht="15.75" customHeight="1">
      <c r="A26" s="218">
        <v>41830</v>
      </c>
      <c r="B26" s="222">
        <v>0.6666666666666666</v>
      </c>
      <c r="C26" s="223">
        <v>6000000</v>
      </c>
      <c r="D26" s="221" t="s">
        <v>127</v>
      </c>
      <c r="E26" s="220" t="s">
        <v>151</v>
      </c>
      <c r="F26" s="220" t="s">
        <v>184</v>
      </c>
      <c r="G26" s="221"/>
    </row>
    <row r="27" spans="1:6" ht="15.75" customHeight="1">
      <c r="A27" s="218">
        <v>41837</v>
      </c>
      <c r="B27" s="222">
        <v>0.6666666666666666</v>
      </c>
      <c r="C27" s="223">
        <v>8000000</v>
      </c>
      <c r="D27" s="224" t="s">
        <v>163</v>
      </c>
      <c r="E27" s="220" t="s">
        <v>151</v>
      </c>
      <c r="F27" s="220" t="s">
        <v>185</v>
      </c>
    </row>
    <row r="28" spans="1:7" ht="15.75" customHeight="1">
      <c r="A28" s="218">
        <v>41844</v>
      </c>
      <c r="B28" s="222">
        <v>0.6666666666666666</v>
      </c>
      <c r="C28" s="223">
        <v>6000000</v>
      </c>
      <c r="D28" s="221" t="s">
        <v>124</v>
      </c>
      <c r="E28" s="220" t="s">
        <v>151</v>
      </c>
      <c r="F28" s="220" t="s">
        <v>183</v>
      </c>
      <c r="G28" s="275"/>
    </row>
    <row r="29" spans="1:7" ht="15.75" customHeight="1">
      <c r="A29" s="218">
        <v>41851</v>
      </c>
      <c r="B29" s="222">
        <v>0.6666666666666666</v>
      </c>
      <c r="C29" s="223">
        <v>6000000</v>
      </c>
      <c r="D29" s="221" t="s">
        <v>165</v>
      </c>
      <c r="E29" s="220" t="s">
        <v>151</v>
      </c>
      <c r="F29" s="220" t="s">
        <v>184</v>
      </c>
      <c r="G29" s="275" t="s">
        <v>203</v>
      </c>
    </row>
    <row r="30" spans="1:7" ht="15.75" customHeight="1">
      <c r="A30" s="218">
        <v>41858</v>
      </c>
      <c r="B30" s="222">
        <v>0.6666666666666666</v>
      </c>
      <c r="C30" s="223">
        <v>8000000</v>
      </c>
      <c r="D30" s="224" t="s">
        <v>166</v>
      </c>
      <c r="E30" s="220" t="s">
        <v>159</v>
      </c>
      <c r="F30" s="220" t="s">
        <v>185</v>
      </c>
      <c r="G30" s="221" t="s">
        <v>156</v>
      </c>
    </row>
    <row r="31" spans="1:6" ht="15.75" customHeight="1">
      <c r="A31" s="218">
        <v>41865</v>
      </c>
      <c r="B31" s="222">
        <v>0.6666666666666666</v>
      </c>
      <c r="C31" s="223">
        <v>6000000</v>
      </c>
      <c r="D31" s="221" t="s">
        <v>195</v>
      </c>
      <c r="E31" s="220" t="s">
        <v>151</v>
      </c>
      <c r="F31" s="220" t="s">
        <v>183</v>
      </c>
    </row>
    <row r="32" spans="1:7" ht="15.75" customHeight="1">
      <c r="A32" s="218">
        <v>41872</v>
      </c>
      <c r="B32" s="222">
        <v>0.6666666666666666</v>
      </c>
      <c r="C32" s="223">
        <v>6000000</v>
      </c>
      <c r="D32" s="221" t="s">
        <v>119</v>
      </c>
      <c r="E32" s="220" t="s">
        <v>240</v>
      </c>
      <c r="F32" s="220" t="s">
        <v>184</v>
      </c>
      <c r="G32" s="275" t="s">
        <v>241</v>
      </c>
    </row>
    <row r="33" spans="1:7" ht="15.75" customHeight="1">
      <c r="A33" s="218">
        <v>41879</v>
      </c>
      <c r="B33" s="222">
        <v>0.6666666666666666</v>
      </c>
      <c r="C33" s="223">
        <v>6000000</v>
      </c>
      <c r="D33" s="221" t="s">
        <v>118</v>
      </c>
      <c r="E33" s="220" t="s">
        <v>151</v>
      </c>
      <c r="F33" s="220" t="s">
        <v>185</v>
      </c>
      <c r="G33" s="275" t="s">
        <v>204</v>
      </c>
    </row>
    <row r="34" spans="1:7" ht="15.75" customHeight="1">
      <c r="A34" s="218">
        <v>41886</v>
      </c>
      <c r="B34" s="222">
        <v>0.6666666666666666</v>
      </c>
      <c r="C34" s="223">
        <v>6000000</v>
      </c>
      <c r="D34" s="221" t="s">
        <v>111</v>
      </c>
      <c r="E34" s="220" t="s">
        <v>151</v>
      </c>
      <c r="F34" s="220" t="s">
        <v>183</v>
      </c>
      <c r="G34" s="221" t="s">
        <v>156</v>
      </c>
    </row>
    <row r="35" spans="1:7" ht="15.75" customHeight="1">
      <c r="A35" s="218">
        <v>41893</v>
      </c>
      <c r="B35" s="222">
        <v>0.6666666666666666</v>
      </c>
      <c r="C35" s="223">
        <v>6000000</v>
      </c>
      <c r="D35" s="221" t="s">
        <v>193</v>
      </c>
      <c r="E35" s="220" t="s">
        <v>151</v>
      </c>
      <c r="F35" s="220" t="s">
        <v>183</v>
      </c>
      <c r="G35" s="221"/>
    </row>
    <row r="36" spans="1:7" ht="15.75" customHeight="1">
      <c r="A36" s="452" t="s">
        <v>167</v>
      </c>
      <c r="B36" s="452"/>
      <c r="C36" s="452"/>
      <c r="D36" s="452"/>
      <c r="E36" s="452"/>
      <c r="F36" s="452"/>
      <c r="G36" s="452"/>
    </row>
    <row r="37" spans="1:7" ht="15.75" customHeight="1">
      <c r="A37" s="218">
        <v>41900</v>
      </c>
      <c r="B37" s="222">
        <v>0.6666666666666666</v>
      </c>
      <c r="C37" s="223">
        <v>5000000</v>
      </c>
      <c r="D37" s="221" t="s">
        <v>196</v>
      </c>
      <c r="E37" s="220" t="s">
        <v>151</v>
      </c>
      <c r="F37" s="220" t="s">
        <v>185</v>
      </c>
      <c r="G37" s="221" t="s">
        <v>155</v>
      </c>
    </row>
    <row r="38" spans="1:7" ht="15.75" customHeight="1">
      <c r="A38" s="218">
        <v>41907</v>
      </c>
      <c r="B38" s="222">
        <v>0.6666666666666666</v>
      </c>
      <c r="C38" s="223">
        <v>5000000</v>
      </c>
      <c r="D38" s="221" t="s">
        <v>194</v>
      </c>
      <c r="E38" s="220" t="s">
        <v>151</v>
      </c>
      <c r="F38" s="220" t="s">
        <v>183</v>
      </c>
      <c r="G38" s="221" t="s">
        <v>155</v>
      </c>
    </row>
    <row r="39" spans="1:7" ht="15.75" customHeight="1">
      <c r="A39" s="218">
        <v>41914</v>
      </c>
      <c r="B39" s="222">
        <v>0.6666666666666666</v>
      </c>
      <c r="C39" s="223">
        <v>5000000</v>
      </c>
      <c r="D39" s="221" t="s">
        <v>86</v>
      </c>
      <c r="E39" s="220" t="s">
        <v>151</v>
      </c>
      <c r="F39" s="220" t="s">
        <v>184</v>
      </c>
      <c r="G39" s="221" t="s">
        <v>155</v>
      </c>
    </row>
    <row r="40" spans="1:7" ht="15.75" customHeight="1">
      <c r="A40" s="218">
        <v>41923</v>
      </c>
      <c r="B40" s="222">
        <v>0.3333333333333333</v>
      </c>
      <c r="C40" s="223">
        <v>10000000</v>
      </c>
      <c r="D40" s="221" t="s">
        <v>189</v>
      </c>
      <c r="E40" s="220" t="s">
        <v>151</v>
      </c>
      <c r="F40" s="220" t="s">
        <v>341</v>
      </c>
      <c r="G40" s="221" t="s">
        <v>168</v>
      </c>
    </row>
    <row r="41" spans="1:7" ht="15.75" customHeight="1">
      <c r="A41" s="449" t="s">
        <v>169</v>
      </c>
      <c r="B41" s="449"/>
      <c r="C41" s="449"/>
      <c r="D41" s="449"/>
      <c r="E41" s="449"/>
      <c r="F41" s="449"/>
      <c r="G41" s="449"/>
    </row>
    <row r="42" spans="1:7" ht="15.75" customHeight="1">
      <c r="A42" s="218">
        <v>41811</v>
      </c>
      <c r="B42" s="220" t="s">
        <v>170</v>
      </c>
      <c r="C42" s="220" t="s">
        <v>171</v>
      </c>
      <c r="D42" s="221" t="s">
        <v>134</v>
      </c>
      <c r="E42" s="220" t="s">
        <v>172</v>
      </c>
      <c r="F42" s="220"/>
      <c r="G42" s="221" t="s">
        <v>173</v>
      </c>
    </row>
    <row r="43" spans="1:7" ht="15.75" customHeight="1">
      <c r="A43" s="218">
        <v>41888</v>
      </c>
      <c r="B43" s="222">
        <v>0.19791666666666666</v>
      </c>
      <c r="C43" s="220" t="s">
        <v>171</v>
      </c>
      <c r="D43" s="221" t="s">
        <v>206</v>
      </c>
      <c r="E43" s="220" t="s">
        <v>172</v>
      </c>
      <c r="F43" s="220"/>
      <c r="G43" s="221" t="s">
        <v>173</v>
      </c>
    </row>
    <row r="44" spans="1:7" ht="15.75" customHeight="1">
      <c r="A44" s="220"/>
      <c r="B44" s="221"/>
      <c r="C44" s="221"/>
      <c r="D44" s="221"/>
      <c r="E44" s="221"/>
      <c r="F44" s="221"/>
      <c r="G44" s="221"/>
    </row>
    <row r="45" spans="1:7" ht="15.75" customHeight="1">
      <c r="A45" s="449" t="s">
        <v>174</v>
      </c>
      <c r="B45" s="449"/>
      <c r="C45" s="449"/>
      <c r="D45" s="449"/>
      <c r="E45" s="449"/>
      <c r="F45" s="449"/>
      <c r="G45" s="449"/>
    </row>
    <row r="46" spans="1:7" ht="15.75" customHeight="1">
      <c r="A46" s="218">
        <v>41935</v>
      </c>
      <c r="B46" s="221"/>
      <c r="C46" s="221"/>
      <c r="D46" s="221" t="s">
        <v>175</v>
      </c>
      <c r="E46" s="221"/>
      <c r="F46" s="221"/>
      <c r="G46" s="221" t="s">
        <v>176</v>
      </c>
    </row>
  </sheetData>
  <sheetProtection selectLockedCells="1" selectUnlockedCells="1"/>
  <mergeCells count="7">
    <mergeCell ref="A45:G45"/>
    <mergeCell ref="A1:G1"/>
    <mergeCell ref="A3:G3"/>
    <mergeCell ref="A4:G4"/>
    <mergeCell ref="A8:G8"/>
    <mergeCell ref="A36:G36"/>
    <mergeCell ref="A41:G41"/>
  </mergeCells>
  <hyperlinks>
    <hyperlink ref="D9" location="'13-03'!A3" display="Valspar Championship"/>
  </hyperlinks>
  <printOptions/>
  <pageMargins left="0.75" right="0.75" top="1" bottom="1" header="0.5118055555555555" footer="0.5118055555555555"/>
  <pageSetup fitToHeight="1" fitToWidth="1" horizontalDpi="300" verticalDpi="300" orientation="portrait" paperSize="9" scale="77"/>
</worksheet>
</file>

<file path=xl/worksheets/sheet44.xml><?xml version="1.0" encoding="utf-8"?>
<worksheet xmlns="http://schemas.openxmlformats.org/spreadsheetml/2006/main" xmlns:r="http://schemas.openxmlformats.org/officeDocument/2006/relationships">
  <dimension ref="B2:AD44"/>
  <sheetViews>
    <sheetView workbookViewId="0" topLeftCell="V2">
      <selection activeCell="AC2" sqref="AC2:AC18"/>
    </sheetView>
  </sheetViews>
  <sheetFormatPr defaultColWidth="11.57421875" defaultRowHeight="12.75"/>
  <cols>
    <col min="1" max="1" width="2.8515625" style="11" customWidth="1"/>
    <col min="2" max="2" width="13.00390625" style="11" customWidth="1"/>
    <col min="3" max="13" width="11.421875" style="11" hidden="1" customWidth="1"/>
    <col min="14" max="21" width="0" style="11" hidden="1" customWidth="1"/>
    <col min="22" max="16384" width="11.421875" style="11" customWidth="1"/>
  </cols>
  <sheetData>
    <row r="2" spans="2:30" ht="15">
      <c r="B2" s="369" t="s">
        <v>177</v>
      </c>
      <c r="C2" s="370">
        <v>41732</v>
      </c>
      <c r="D2" s="370">
        <v>41739</v>
      </c>
      <c r="E2" s="370">
        <v>41746</v>
      </c>
      <c r="F2" s="370">
        <v>41753</v>
      </c>
      <c r="G2" s="370">
        <v>41760</v>
      </c>
      <c r="H2" s="370">
        <v>41767</v>
      </c>
      <c r="I2" s="370">
        <v>41774</v>
      </c>
      <c r="J2" s="370">
        <v>41781</v>
      </c>
      <c r="K2" s="370">
        <v>41788</v>
      </c>
      <c r="L2" s="370">
        <v>41795</v>
      </c>
      <c r="M2" s="370">
        <v>41802</v>
      </c>
      <c r="N2" s="370">
        <v>41809</v>
      </c>
      <c r="O2" s="370">
        <v>41816</v>
      </c>
      <c r="P2" s="370">
        <v>41823</v>
      </c>
      <c r="Q2" s="370">
        <v>41830</v>
      </c>
      <c r="R2" s="370">
        <v>41837</v>
      </c>
      <c r="S2" s="370">
        <v>41844</v>
      </c>
      <c r="T2" s="370">
        <v>41851</v>
      </c>
      <c r="U2" s="370">
        <v>41858</v>
      </c>
      <c r="V2" s="370">
        <v>41865</v>
      </c>
      <c r="W2" s="370">
        <v>41872</v>
      </c>
      <c r="X2" s="370">
        <v>41879</v>
      </c>
      <c r="Y2" s="370">
        <v>41886</v>
      </c>
      <c r="Z2" s="370">
        <v>41893</v>
      </c>
      <c r="AA2" s="370">
        <v>41900</v>
      </c>
      <c r="AB2" s="370">
        <v>41907</v>
      </c>
      <c r="AC2" s="370">
        <v>41914</v>
      </c>
      <c r="AD2" s="370">
        <v>41923</v>
      </c>
    </row>
    <row r="3" spans="2:30" ht="15">
      <c r="B3" s="371">
        <v>0.6666666666666666</v>
      </c>
      <c r="C3" s="372" t="s">
        <v>224</v>
      </c>
      <c r="D3" s="372" t="s">
        <v>216</v>
      </c>
      <c r="E3" s="372" t="s">
        <v>220</v>
      </c>
      <c r="F3" s="372" t="s">
        <v>231</v>
      </c>
      <c r="G3" s="372"/>
      <c r="H3" s="372" t="s">
        <v>15</v>
      </c>
      <c r="I3" s="372" t="s">
        <v>223</v>
      </c>
      <c r="J3" s="372" t="s">
        <v>216</v>
      </c>
      <c r="K3" s="372"/>
      <c r="L3" s="372" t="s">
        <v>228</v>
      </c>
      <c r="M3" s="372" t="s">
        <v>224</v>
      </c>
      <c r="N3" s="372" t="s">
        <v>230</v>
      </c>
      <c r="O3" s="372" t="s">
        <v>218</v>
      </c>
      <c r="P3" s="372" t="s">
        <v>223</v>
      </c>
      <c r="Q3" s="372"/>
      <c r="R3" s="372"/>
      <c r="S3" s="372"/>
      <c r="T3" s="372"/>
      <c r="U3" s="372"/>
      <c r="V3" s="372" t="s">
        <v>17</v>
      </c>
      <c r="W3" s="372" t="s">
        <v>230</v>
      </c>
      <c r="X3" s="372" t="s">
        <v>223</v>
      </c>
      <c r="Y3" s="372" t="s">
        <v>253</v>
      </c>
      <c r="Z3" s="372"/>
      <c r="AA3" s="372" t="s">
        <v>218</v>
      </c>
      <c r="AB3" s="372" t="s">
        <v>223</v>
      </c>
      <c r="AC3" s="372" t="s">
        <v>230</v>
      </c>
      <c r="AD3" s="372"/>
    </row>
    <row r="4" spans="2:30" ht="15">
      <c r="B4" s="373"/>
      <c r="C4" s="372" t="s">
        <v>218</v>
      </c>
      <c r="D4" s="372" t="s">
        <v>223</v>
      </c>
      <c r="E4" s="372" t="s">
        <v>226</v>
      </c>
      <c r="F4" s="372" t="s">
        <v>244</v>
      </c>
      <c r="G4" s="372"/>
      <c r="H4" s="372" t="s">
        <v>254</v>
      </c>
      <c r="I4" s="372" t="s">
        <v>17</v>
      </c>
      <c r="J4" s="372" t="s">
        <v>256</v>
      </c>
      <c r="K4" s="372"/>
      <c r="L4" s="372" t="s">
        <v>256</v>
      </c>
      <c r="M4" s="372" t="s">
        <v>243</v>
      </c>
      <c r="N4" s="372" t="s">
        <v>218</v>
      </c>
      <c r="O4" s="372" t="s">
        <v>216</v>
      </c>
      <c r="P4" s="372" t="s">
        <v>228</v>
      </c>
      <c r="Q4" s="372"/>
      <c r="R4" s="372"/>
      <c r="S4" s="372"/>
      <c r="T4" s="372"/>
      <c r="U4" s="372"/>
      <c r="V4" s="372" t="s">
        <v>224</v>
      </c>
      <c r="W4" s="372" t="s">
        <v>216</v>
      </c>
      <c r="X4" s="372" t="s">
        <v>228</v>
      </c>
      <c r="Y4" s="372" t="s">
        <v>229</v>
      </c>
      <c r="Z4" s="372"/>
      <c r="AA4" s="372" t="s">
        <v>219</v>
      </c>
      <c r="AB4" s="372" t="s">
        <v>17</v>
      </c>
      <c r="AC4" s="372" t="s">
        <v>337</v>
      </c>
      <c r="AD4" s="372"/>
    </row>
    <row r="5" spans="2:30" ht="15">
      <c r="B5" s="373"/>
      <c r="C5" s="372" t="s">
        <v>223</v>
      </c>
      <c r="D5" s="372" t="s">
        <v>237</v>
      </c>
      <c r="E5" s="372" t="s">
        <v>216</v>
      </c>
      <c r="F5" s="372" t="s">
        <v>224</v>
      </c>
      <c r="G5" s="372"/>
      <c r="H5" s="372" t="s">
        <v>255</v>
      </c>
      <c r="I5" s="372" t="s">
        <v>224</v>
      </c>
      <c r="J5" s="372" t="s">
        <v>218</v>
      </c>
      <c r="K5" s="372"/>
      <c r="L5" s="372" t="s">
        <v>229</v>
      </c>
      <c r="M5" s="372" t="s">
        <v>256</v>
      </c>
      <c r="N5" s="372" t="s">
        <v>229</v>
      </c>
      <c r="O5" s="372" t="s">
        <v>223</v>
      </c>
      <c r="P5" s="372" t="s">
        <v>230</v>
      </c>
      <c r="Q5" s="372"/>
      <c r="R5" s="372"/>
      <c r="S5" s="372"/>
      <c r="T5" s="372"/>
      <c r="U5" s="372"/>
      <c r="V5" s="372" t="s">
        <v>15</v>
      </c>
      <c r="W5" s="372" t="s">
        <v>224</v>
      </c>
      <c r="X5" s="372" t="s">
        <v>230</v>
      </c>
      <c r="Y5" s="372" t="s">
        <v>219</v>
      </c>
      <c r="Z5" s="372"/>
      <c r="AA5" s="372" t="s">
        <v>230</v>
      </c>
      <c r="AB5" s="372" t="s">
        <v>232</v>
      </c>
      <c r="AC5" s="372" t="s">
        <v>227</v>
      </c>
      <c r="AD5" s="372"/>
    </row>
    <row r="6" spans="2:30" ht="15">
      <c r="B6" s="373"/>
      <c r="C6" s="372" t="s">
        <v>227</v>
      </c>
      <c r="D6" s="372" t="s">
        <v>219</v>
      </c>
      <c r="E6" s="372" t="s">
        <v>231</v>
      </c>
      <c r="F6" s="372" t="s">
        <v>227</v>
      </c>
      <c r="G6" s="372"/>
      <c r="H6" s="372" t="s">
        <v>256</v>
      </c>
      <c r="I6" s="372" t="s">
        <v>222</v>
      </c>
      <c r="J6" s="372"/>
      <c r="K6" s="372"/>
      <c r="L6" s="372"/>
      <c r="M6" s="372" t="s">
        <v>225</v>
      </c>
      <c r="N6" s="372" t="s">
        <v>225</v>
      </c>
      <c r="O6" s="372"/>
      <c r="P6" s="372" t="s">
        <v>15</v>
      </c>
      <c r="Q6" s="372"/>
      <c r="R6" s="372"/>
      <c r="S6" s="372"/>
      <c r="T6" s="372"/>
      <c r="U6" s="372"/>
      <c r="V6" s="372" t="s">
        <v>232</v>
      </c>
      <c r="W6" s="372" t="s">
        <v>15</v>
      </c>
      <c r="X6" s="372" t="s">
        <v>227</v>
      </c>
      <c r="Y6" s="372" t="s">
        <v>17</v>
      </c>
      <c r="Z6" s="372"/>
      <c r="AA6" s="372" t="s">
        <v>229</v>
      </c>
      <c r="AB6" s="372"/>
      <c r="AD6" s="372"/>
    </row>
    <row r="7" spans="2:30" s="158" customFormat="1" ht="15">
      <c r="B7" s="374">
        <v>0.6770833333333334</v>
      </c>
      <c r="C7" s="375" t="s">
        <v>222</v>
      </c>
      <c r="D7" s="375" t="s">
        <v>215</v>
      </c>
      <c r="E7" s="375" t="s">
        <v>230</v>
      </c>
      <c r="F7" s="375" t="s">
        <v>17</v>
      </c>
      <c r="G7" s="375"/>
      <c r="H7" s="375" t="s">
        <v>229</v>
      </c>
      <c r="I7" s="375" t="s">
        <v>256</v>
      </c>
      <c r="J7" s="375" t="s">
        <v>17</v>
      </c>
      <c r="K7" s="375"/>
      <c r="L7" s="375" t="s">
        <v>219</v>
      </c>
      <c r="M7" s="375" t="s">
        <v>215</v>
      </c>
      <c r="N7" s="375" t="s">
        <v>256</v>
      </c>
      <c r="O7" s="375" t="s">
        <v>215</v>
      </c>
      <c r="P7" s="375" t="s">
        <v>218</v>
      </c>
      <c r="Q7" s="375"/>
      <c r="R7" s="375"/>
      <c r="S7" s="375"/>
      <c r="T7" s="375"/>
      <c r="U7" s="375"/>
      <c r="V7" s="375" t="s">
        <v>256</v>
      </c>
      <c r="W7" s="375" t="s">
        <v>255</v>
      </c>
      <c r="X7" s="375" t="s">
        <v>256</v>
      </c>
      <c r="Y7" s="375" t="s">
        <v>223</v>
      </c>
      <c r="Z7" s="375"/>
      <c r="AA7" s="375" t="s">
        <v>223</v>
      </c>
      <c r="AB7" s="375" t="s">
        <v>230</v>
      </c>
      <c r="AC7" s="375" t="s">
        <v>215</v>
      </c>
      <c r="AD7" s="375"/>
    </row>
    <row r="8" spans="2:30" s="158" customFormat="1" ht="15">
      <c r="B8" s="376"/>
      <c r="C8" s="375" t="s">
        <v>229</v>
      </c>
      <c r="D8" s="375" t="s">
        <v>41</v>
      </c>
      <c r="E8" s="375" t="s">
        <v>221</v>
      </c>
      <c r="F8" s="375" t="s">
        <v>21</v>
      </c>
      <c r="G8" s="375"/>
      <c r="H8" s="375" t="s">
        <v>17</v>
      </c>
      <c r="I8" s="375" t="s">
        <v>227</v>
      </c>
      <c r="J8" s="375" t="s">
        <v>223</v>
      </c>
      <c r="K8" s="375"/>
      <c r="L8" s="375" t="s">
        <v>226</v>
      </c>
      <c r="M8" s="375" t="s">
        <v>216</v>
      </c>
      <c r="N8" s="375" t="s">
        <v>224</v>
      </c>
      <c r="O8" s="375" t="s">
        <v>17</v>
      </c>
      <c r="P8" s="375" t="s">
        <v>216</v>
      </c>
      <c r="Q8" s="375"/>
      <c r="R8" s="375"/>
      <c r="S8" s="375"/>
      <c r="T8" s="375"/>
      <c r="U8" s="375"/>
      <c r="V8" s="375" t="s">
        <v>218</v>
      </c>
      <c r="W8" s="375" t="s">
        <v>232</v>
      </c>
      <c r="X8" s="375" t="s">
        <v>225</v>
      </c>
      <c r="Y8" s="375" t="s">
        <v>218</v>
      </c>
      <c r="Z8" s="375"/>
      <c r="AA8" s="375" t="s">
        <v>17</v>
      </c>
      <c r="AB8" s="375" t="s">
        <v>224</v>
      </c>
      <c r="AC8" s="375" t="s">
        <v>344</v>
      </c>
      <c r="AD8" s="375"/>
    </row>
    <row r="9" spans="2:30" s="158" customFormat="1" ht="15">
      <c r="B9" s="376"/>
      <c r="C9" s="375" t="s">
        <v>225</v>
      </c>
      <c r="D9" s="375"/>
      <c r="E9" s="375" t="s">
        <v>219</v>
      </c>
      <c r="F9" s="375" t="s">
        <v>47</v>
      </c>
      <c r="G9" s="375"/>
      <c r="H9" s="375" t="s">
        <v>41</v>
      </c>
      <c r="I9" s="375" t="s">
        <v>219</v>
      </c>
      <c r="J9" s="375" t="s">
        <v>229</v>
      </c>
      <c r="K9" s="375"/>
      <c r="L9" s="375" t="s">
        <v>225</v>
      </c>
      <c r="M9" s="375" t="s">
        <v>228</v>
      </c>
      <c r="N9" s="375" t="s">
        <v>216</v>
      </c>
      <c r="O9" s="375" t="s">
        <v>225</v>
      </c>
      <c r="P9" s="375" t="s">
        <v>229</v>
      </c>
      <c r="Q9" s="375"/>
      <c r="R9" s="375"/>
      <c r="S9" s="375"/>
      <c r="T9" s="375"/>
      <c r="U9" s="375"/>
      <c r="V9" s="375" t="s">
        <v>229</v>
      </c>
      <c r="W9" s="375" t="s">
        <v>17</v>
      </c>
      <c r="X9" s="375" t="s">
        <v>253</v>
      </c>
      <c r="Y9" s="375" t="s">
        <v>225</v>
      </c>
      <c r="Z9" s="375"/>
      <c r="AA9" s="375" t="s">
        <v>224</v>
      </c>
      <c r="AB9" s="375" t="s">
        <v>227</v>
      </c>
      <c r="AC9" s="375" t="s">
        <v>224</v>
      </c>
      <c r="AD9" s="375"/>
    </row>
    <row r="10" spans="2:30" s="158" customFormat="1" ht="15">
      <c r="B10" s="376"/>
      <c r="C10" s="375" t="s">
        <v>228</v>
      </c>
      <c r="D10" s="375" t="s">
        <v>35</v>
      </c>
      <c r="E10" s="375"/>
      <c r="F10" s="375" t="s">
        <v>49</v>
      </c>
      <c r="G10" s="375"/>
      <c r="H10" s="375"/>
      <c r="I10" s="375" t="s">
        <v>229</v>
      </c>
      <c r="J10" s="375" t="s">
        <v>230</v>
      </c>
      <c r="K10" s="375"/>
      <c r="L10" s="375" t="s">
        <v>223</v>
      </c>
      <c r="M10" s="375" t="s">
        <v>253</v>
      </c>
      <c r="N10" s="375" t="s">
        <v>227</v>
      </c>
      <c r="O10" s="375" t="s">
        <v>41</v>
      </c>
      <c r="P10" s="375" t="s">
        <v>17</v>
      </c>
      <c r="Q10" s="375"/>
      <c r="R10" s="375"/>
      <c r="S10" s="375"/>
      <c r="T10" s="375"/>
      <c r="U10" s="375"/>
      <c r="V10" s="375" t="s">
        <v>219</v>
      </c>
      <c r="W10" s="375" t="s">
        <v>256</v>
      </c>
      <c r="X10" s="375" t="s">
        <v>216</v>
      </c>
      <c r="Y10" s="375" t="s">
        <v>237</v>
      </c>
      <c r="Z10" s="375"/>
      <c r="AA10" s="375" t="s">
        <v>232</v>
      </c>
      <c r="AB10" s="375" t="s">
        <v>219</v>
      </c>
      <c r="AC10" s="375" t="s">
        <v>229</v>
      </c>
      <c r="AD10" s="375"/>
    </row>
    <row r="11" spans="2:30" ht="15">
      <c r="B11" s="371">
        <v>0.6875</v>
      </c>
      <c r="C11" s="372" t="s">
        <v>215</v>
      </c>
      <c r="D11" s="372" t="s">
        <v>224</v>
      </c>
      <c r="E11" s="372" t="s">
        <v>29</v>
      </c>
      <c r="F11" s="372" t="s">
        <v>215</v>
      </c>
      <c r="G11" s="372"/>
      <c r="H11" s="372" t="s">
        <v>218</v>
      </c>
      <c r="I11" s="372" t="s">
        <v>226</v>
      </c>
      <c r="J11" s="372" t="s">
        <v>215</v>
      </c>
      <c r="K11" s="372"/>
      <c r="L11" s="372" t="s">
        <v>17</v>
      </c>
      <c r="M11" s="372" t="s">
        <v>227</v>
      </c>
      <c r="N11" s="372" t="s">
        <v>223</v>
      </c>
      <c r="O11" s="372" t="s">
        <v>228</v>
      </c>
      <c r="P11" s="372" t="s">
        <v>215</v>
      </c>
      <c r="Q11" s="372"/>
      <c r="R11" s="372"/>
      <c r="S11" s="372"/>
      <c r="T11" s="372"/>
      <c r="U11" s="372"/>
      <c r="V11" s="372" t="s">
        <v>222</v>
      </c>
      <c r="W11" s="372" t="s">
        <v>223</v>
      </c>
      <c r="X11" s="372" t="s">
        <v>218</v>
      </c>
      <c r="Y11" s="372" t="s">
        <v>230</v>
      </c>
      <c r="Z11" s="372"/>
      <c r="AA11" s="372" t="s">
        <v>215</v>
      </c>
      <c r="AB11" s="372" t="s">
        <v>218</v>
      </c>
      <c r="AC11" s="372" t="s">
        <v>237</v>
      </c>
      <c r="AD11" s="372"/>
    </row>
    <row r="12" spans="2:30" ht="15">
      <c r="B12" s="373"/>
      <c r="C12" s="372" t="s">
        <v>216</v>
      </c>
      <c r="D12" s="372"/>
      <c r="E12" s="372" t="s">
        <v>232</v>
      </c>
      <c r="F12" s="372" t="s">
        <v>230</v>
      </c>
      <c r="G12" s="372"/>
      <c r="H12" s="372" t="s">
        <v>215</v>
      </c>
      <c r="I12" s="372" t="s">
        <v>215</v>
      </c>
      <c r="J12" s="372" t="s">
        <v>224</v>
      </c>
      <c r="K12" s="372"/>
      <c r="L12" s="372" t="s">
        <v>216</v>
      </c>
      <c r="M12" s="372" t="s">
        <v>219</v>
      </c>
      <c r="N12" s="372" t="s">
        <v>17</v>
      </c>
      <c r="O12" s="372" t="s">
        <v>219</v>
      </c>
      <c r="P12" s="372" t="s">
        <v>224</v>
      </c>
      <c r="Q12" s="372"/>
      <c r="R12" s="372"/>
      <c r="S12" s="372"/>
      <c r="T12" s="372"/>
      <c r="U12" s="372"/>
      <c r="V12" s="372" t="s">
        <v>227</v>
      </c>
      <c r="W12" s="372" t="s">
        <v>226</v>
      </c>
      <c r="X12" s="372" t="s">
        <v>229</v>
      </c>
      <c r="Y12" s="372" t="s">
        <v>215</v>
      </c>
      <c r="Z12" s="372"/>
      <c r="AA12" s="372" t="s">
        <v>41</v>
      </c>
      <c r="AB12" s="372" t="s">
        <v>27</v>
      </c>
      <c r="AC12" s="372" t="s">
        <v>222</v>
      </c>
      <c r="AD12" s="372"/>
    </row>
    <row r="13" spans="2:30" ht="15">
      <c r="B13" s="373"/>
      <c r="C13" s="372" t="s">
        <v>17</v>
      </c>
      <c r="D13" s="372" t="s">
        <v>17</v>
      </c>
      <c r="E13" s="372" t="s">
        <v>223</v>
      </c>
      <c r="F13" s="372" t="s">
        <v>225</v>
      </c>
      <c r="G13" s="372"/>
      <c r="H13" s="372" t="s">
        <v>253</v>
      </c>
      <c r="I13" s="372" t="s">
        <v>15</v>
      </c>
      <c r="J13" s="372" t="s">
        <v>227</v>
      </c>
      <c r="K13" s="372"/>
      <c r="L13" s="372" t="s">
        <v>227</v>
      </c>
      <c r="M13" s="372" t="s">
        <v>229</v>
      </c>
      <c r="N13" s="372" t="s">
        <v>219</v>
      </c>
      <c r="O13" s="372" t="s">
        <v>229</v>
      </c>
      <c r="P13" s="372" t="s">
        <v>232</v>
      </c>
      <c r="Q13" s="372"/>
      <c r="R13" s="372"/>
      <c r="S13" s="372"/>
      <c r="T13" s="372"/>
      <c r="U13" s="372"/>
      <c r="V13" s="372" t="s">
        <v>223</v>
      </c>
      <c r="W13" s="372" t="s">
        <v>227</v>
      </c>
      <c r="X13" s="372" t="s">
        <v>226</v>
      </c>
      <c r="Y13" s="372" t="s">
        <v>255</v>
      </c>
      <c r="Z13" s="372"/>
      <c r="AA13" s="372" t="s">
        <v>253</v>
      </c>
      <c r="AB13" s="372" t="s">
        <v>229</v>
      </c>
      <c r="AC13" s="372" t="s">
        <v>219</v>
      </c>
      <c r="AD13" s="372"/>
    </row>
    <row r="14" spans="2:30" ht="15">
      <c r="B14" s="373"/>
      <c r="C14" s="372" t="s">
        <v>29</v>
      </c>
      <c r="D14" s="372" t="s">
        <v>228</v>
      </c>
      <c r="E14" s="372"/>
      <c r="F14" s="372" t="s">
        <v>27</v>
      </c>
      <c r="G14" s="372"/>
      <c r="H14" s="372"/>
      <c r="I14" s="372"/>
      <c r="J14" s="372" t="s">
        <v>258</v>
      </c>
      <c r="K14" s="372"/>
      <c r="L14" s="372" t="s">
        <v>237</v>
      </c>
      <c r="M14" s="372" t="s">
        <v>223</v>
      </c>
      <c r="N14" s="372" t="s">
        <v>220</v>
      </c>
      <c r="O14" s="372"/>
      <c r="P14" s="372" t="s">
        <v>222</v>
      </c>
      <c r="Q14" s="372"/>
      <c r="R14" s="372"/>
      <c r="S14" s="372"/>
      <c r="T14" s="372"/>
      <c r="U14" s="372"/>
      <c r="V14" s="372"/>
      <c r="W14" s="372" t="s">
        <v>228</v>
      </c>
      <c r="X14" s="372" t="s">
        <v>224</v>
      </c>
      <c r="Y14" s="372" t="s">
        <v>256</v>
      </c>
      <c r="Z14" s="372"/>
      <c r="AA14" s="372"/>
      <c r="AB14" s="372" t="s">
        <v>337</v>
      </c>
      <c r="AC14" s="372" t="s">
        <v>223</v>
      </c>
      <c r="AD14" s="372"/>
    </row>
    <row r="15" spans="2:30" s="158" customFormat="1" ht="15">
      <c r="B15" s="374">
        <v>0.6979166666666666</v>
      </c>
      <c r="C15" s="375" t="s">
        <v>217</v>
      </c>
      <c r="D15" s="375" t="s">
        <v>221</v>
      </c>
      <c r="E15" s="375" t="s">
        <v>41</v>
      </c>
      <c r="F15" s="375" t="s">
        <v>229</v>
      </c>
      <c r="G15" s="375"/>
      <c r="H15" s="375" t="s">
        <v>226</v>
      </c>
      <c r="I15" s="375" t="s">
        <v>220</v>
      </c>
      <c r="J15" s="375" t="s">
        <v>255</v>
      </c>
      <c r="K15" s="375"/>
      <c r="L15" s="375" t="s">
        <v>215</v>
      </c>
      <c r="M15" s="375" t="s">
        <v>222</v>
      </c>
      <c r="N15" s="375" t="s">
        <v>231</v>
      </c>
      <c r="O15" s="375" t="s">
        <v>230</v>
      </c>
      <c r="P15" s="375" t="s">
        <v>220</v>
      </c>
      <c r="Q15" s="375"/>
      <c r="R15" s="375"/>
      <c r="S15" s="375"/>
      <c r="T15" s="375"/>
      <c r="U15" s="375"/>
      <c r="V15" s="375" t="s">
        <v>228</v>
      </c>
      <c r="W15" s="375" t="s">
        <v>218</v>
      </c>
      <c r="X15" s="375" t="s">
        <v>220</v>
      </c>
      <c r="Y15" s="375" t="s">
        <v>228</v>
      </c>
      <c r="Z15" s="375"/>
      <c r="AA15" s="375" t="s">
        <v>228</v>
      </c>
      <c r="AB15" s="375" t="s">
        <v>222</v>
      </c>
      <c r="AC15" s="375" t="s">
        <v>228</v>
      </c>
      <c r="AD15" s="375"/>
    </row>
    <row r="16" spans="2:30" s="158" customFormat="1" ht="15">
      <c r="B16" s="376"/>
      <c r="C16" s="375" t="s">
        <v>27</v>
      </c>
      <c r="D16" s="375" t="s">
        <v>236</v>
      </c>
      <c r="E16" s="375" t="s">
        <v>31</v>
      </c>
      <c r="F16" s="375" t="s">
        <v>232</v>
      </c>
      <c r="G16" s="375"/>
      <c r="H16" s="375" t="s">
        <v>231</v>
      </c>
      <c r="I16" s="375" t="s">
        <v>255</v>
      </c>
      <c r="J16" s="375" t="s">
        <v>237</v>
      </c>
      <c r="K16" s="375"/>
      <c r="L16" s="375" t="s">
        <v>255</v>
      </c>
      <c r="M16" s="375" t="s">
        <v>232</v>
      </c>
      <c r="N16" s="375" t="s">
        <v>222</v>
      </c>
      <c r="O16" s="375" t="s">
        <v>220</v>
      </c>
      <c r="P16" s="375" t="s">
        <v>226</v>
      </c>
      <c r="Q16" s="375"/>
      <c r="R16" s="375"/>
      <c r="S16" s="375"/>
      <c r="T16" s="375"/>
      <c r="U16" s="375"/>
      <c r="V16" s="375" t="s">
        <v>220</v>
      </c>
      <c r="W16" s="375" t="s">
        <v>225</v>
      </c>
      <c r="X16" s="375" t="s">
        <v>15</v>
      </c>
      <c r="Y16" s="375" t="s">
        <v>216</v>
      </c>
      <c r="Z16" s="375"/>
      <c r="AA16" s="375" t="s">
        <v>337</v>
      </c>
      <c r="AB16" s="375" t="s">
        <v>15</v>
      </c>
      <c r="AC16" s="375" t="s">
        <v>220</v>
      </c>
      <c r="AD16" s="375"/>
    </row>
    <row r="17" spans="2:30" s="158" customFormat="1" ht="15">
      <c r="B17" s="376"/>
      <c r="C17" s="375" t="s">
        <v>226</v>
      </c>
      <c r="D17" s="375" t="s">
        <v>226</v>
      </c>
      <c r="E17" s="375" t="s">
        <v>21</v>
      </c>
      <c r="F17" s="375" t="s">
        <v>220</v>
      </c>
      <c r="G17" s="375"/>
      <c r="H17" s="375" t="s">
        <v>257</v>
      </c>
      <c r="I17" s="375" t="s">
        <v>232</v>
      </c>
      <c r="J17" s="375" t="s">
        <v>253</v>
      </c>
      <c r="K17" s="375"/>
      <c r="L17" s="375" t="s">
        <v>230</v>
      </c>
      <c r="M17" s="375" t="s">
        <v>243</v>
      </c>
      <c r="N17" s="375" t="s">
        <v>278</v>
      </c>
      <c r="O17" s="375" t="s">
        <v>226</v>
      </c>
      <c r="P17" s="375" t="s">
        <v>253</v>
      </c>
      <c r="Q17" s="375"/>
      <c r="R17" s="375"/>
      <c r="S17" s="375"/>
      <c r="T17" s="375"/>
      <c r="U17" s="375"/>
      <c r="V17" s="375" t="s">
        <v>230</v>
      </c>
      <c r="W17" s="375" t="s">
        <v>222</v>
      </c>
      <c r="X17" s="375" t="s">
        <v>237</v>
      </c>
      <c r="Y17" s="375" t="s">
        <v>227</v>
      </c>
      <c r="Z17" s="375"/>
      <c r="AA17" s="375" t="s">
        <v>222</v>
      </c>
      <c r="AB17" s="375" t="s">
        <v>220</v>
      </c>
      <c r="AC17" s="375" t="s">
        <v>226</v>
      </c>
      <c r="AD17" s="375"/>
    </row>
    <row r="18" spans="2:30" s="158" customFormat="1" ht="15">
      <c r="B18" s="376"/>
      <c r="C18" s="375"/>
      <c r="D18" s="375" t="s">
        <v>220</v>
      </c>
      <c r="E18" s="375"/>
      <c r="F18" s="375"/>
      <c r="G18" s="375"/>
      <c r="H18" s="375"/>
      <c r="I18" s="375"/>
      <c r="J18" s="375"/>
      <c r="K18" s="375"/>
      <c r="L18" s="375"/>
      <c r="M18" s="375" t="s">
        <v>218</v>
      </c>
      <c r="N18" s="375"/>
      <c r="O18" s="375"/>
      <c r="P18" s="375" t="s">
        <v>227</v>
      </c>
      <c r="Q18" s="375"/>
      <c r="R18" s="375"/>
      <c r="S18" s="375"/>
      <c r="T18" s="375"/>
      <c r="U18" s="375"/>
      <c r="V18" s="375"/>
      <c r="W18" s="375" t="s">
        <v>229</v>
      </c>
      <c r="X18" s="375" t="s">
        <v>231</v>
      </c>
      <c r="Y18" s="375"/>
      <c r="Z18" s="375"/>
      <c r="AA18" s="375"/>
      <c r="AB18" s="375" t="s">
        <v>226</v>
      </c>
      <c r="AC18" s="375" t="s">
        <v>15</v>
      </c>
      <c r="AD18" s="375"/>
    </row>
    <row r="19" spans="2:30" ht="15">
      <c r="B19" s="371">
        <v>0.7083333333333334</v>
      </c>
      <c r="C19" s="372" t="s">
        <v>219</v>
      </c>
      <c r="D19" s="372"/>
      <c r="E19" s="372"/>
      <c r="F19" s="372" t="s">
        <v>223</v>
      </c>
      <c r="G19" s="372"/>
      <c r="H19" s="372"/>
      <c r="I19" s="372"/>
      <c r="J19" s="372" t="s">
        <v>221</v>
      </c>
      <c r="K19" s="372"/>
      <c r="L19" s="372" t="s">
        <v>220</v>
      </c>
      <c r="M19" s="372" t="s">
        <v>226</v>
      </c>
      <c r="N19" s="372" t="s">
        <v>232</v>
      </c>
      <c r="O19" s="372" t="s">
        <v>224</v>
      </c>
      <c r="P19" s="372"/>
      <c r="Q19" s="372"/>
      <c r="R19" s="372"/>
      <c r="S19" s="372"/>
      <c r="T19" s="372"/>
      <c r="U19" s="372"/>
      <c r="V19" s="372" t="s">
        <v>226</v>
      </c>
      <c r="W19" s="372" t="s">
        <v>219</v>
      </c>
      <c r="X19" s="372"/>
      <c r="Y19" s="372" t="s">
        <v>226</v>
      </c>
      <c r="Z19" s="372"/>
      <c r="AA19" s="372" t="s">
        <v>15</v>
      </c>
      <c r="AB19" s="372"/>
      <c r="AC19" s="372"/>
      <c r="AD19" s="372"/>
    </row>
    <row r="20" spans="2:30" ht="15">
      <c r="B20" s="373"/>
      <c r="C20" s="372" t="s">
        <v>220</v>
      </c>
      <c r="D20" s="372"/>
      <c r="E20" s="372"/>
      <c r="F20" s="372" t="s">
        <v>243</v>
      </c>
      <c r="G20" s="372"/>
      <c r="H20" s="372"/>
      <c r="I20" s="372"/>
      <c r="J20" s="372" t="s">
        <v>226</v>
      </c>
      <c r="K20" s="372"/>
      <c r="L20" s="372" t="s">
        <v>253</v>
      </c>
      <c r="M20" s="372" t="s">
        <v>220</v>
      </c>
      <c r="N20" s="372" t="s">
        <v>226</v>
      </c>
      <c r="O20" s="372" t="s">
        <v>222</v>
      </c>
      <c r="P20" s="372"/>
      <c r="Q20" s="372"/>
      <c r="R20" s="372"/>
      <c r="S20" s="372"/>
      <c r="T20" s="372"/>
      <c r="U20" s="372"/>
      <c r="V20" s="372" t="s">
        <v>231</v>
      </c>
      <c r="W20" s="372" t="s">
        <v>215</v>
      </c>
      <c r="X20" s="372"/>
      <c r="Y20" s="372" t="s">
        <v>222</v>
      </c>
      <c r="Z20" s="372"/>
      <c r="AA20" s="372" t="s">
        <v>220</v>
      </c>
      <c r="AB20" s="372"/>
      <c r="AC20" s="372"/>
      <c r="AD20" s="372"/>
    </row>
    <row r="21" spans="2:30" ht="15">
      <c r="B21" s="373"/>
      <c r="C21" s="372" t="s">
        <v>221</v>
      </c>
      <c r="D21" s="372"/>
      <c r="E21" s="372"/>
      <c r="F21" s="372" t="s">
        <v>226</v>
      </c>
      <c r="G21" s="372"/>
      <c r="H21" s="372"/>
      <c r="I21" s="372"/>
      <c r="J21" s="372" t="s">
        <v>15</v>
      </c>
      <c r="K21" s="372"/>
      <c r="L21" s="372" t="s">
        <v>222</v>
      </c>
      <c r="M21" s="372" t="s">
        <v>230</v>
      </c>
      <c r="N21" s="372" t="s">
        <v>29</v>
      </c>
      <c r="O21" s="372" t="s">
        <v>232</v>
      </c>
      <c r="P21" s="372"/>
      <c r="Q21" s="372"/>
      <c r="R21" s="372"/>
      <c r="S21" s="372"/>
      <c r="T21" s="372"/>
      <c r="U21" s="372"/>
      <c r="V21" s="372" t="s">
        <v>216</v>
      </c>
      <c r="W21" s="372"/>
      <c r="X21" s="372"/>
      <c r="Y21" s="372" t="s">
        <v>232</v>
      </c>
      <c r="Z21" s="372"/>
      <c r="AA21" s="372" t="s">
        <v>255</v>
      </c>
      <c r="AB21" s="372"/>
      <c r="AC21" s="372"/>
      <c r="AD21" s="372"/>
    </row>
    <row r="22" spans="2:30" ht="15">
      <c r="B22" s="373"/>
      <c r="C22" s="372" t="s">
        <v>230</v>
      </c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372"/>
      <c r="AB22" s="372"/>
      <c r="AC22" s="372"/>
      <c r="AD22" s="372"/>
    </row>
    <row r="23" spans="2:30" ht="15">
      <c r="B23" s="374">
        <v>0.71875</v>
      </c>
      <c r="C23" s="375"/>
      <c r="D23" s="375"/>
      <c r="E23" s="375"/>
      <c r="F23" s="375"/>
      <c r="G23" s="375"/>
      <c r="H23" s="375"/>
      <c r="I23" s="375"/>
      <c r="J23" s="375"/>
      <c r="K23" s="375"/>
      <c r="L23" s="375"/>
      <c r="M23" s="375"/>
      <c r="N23" s="375"/>
      <c r="O23" s="375"/>
      <c r="P23" s="375"/>
      <c r="Q23" s="375"/>
      <c r="R23" s="375"/>
      <c r="S23" s="375"/>
      <c r="T23" s="375"/>
      <c r="U23" s="375"/>
      <c r="V23" s="375"/>
      <c r="W23" s="375"/>
      <c r="X23" s="375" t="s">
        <v>215</v>
      </c>
      <c r="Y23" s="375"/>
      <c r="Z23" s="375"/>
      <c r="AA23" s="375"/>
      <c r="AB23" s="375"/>
      <c r="AC23" s="375"/>
      <c r="AD23" s="375"/>
    </row>
    <row r="24" spans="2:30" ht="15">
      <c r="B24" s="376"/>
      <c r="C24" s="375"/>
      <c r="D24" s="375"/>
      <c r="E24" s="375"/>
      <c r="F24" s="375"/>
      <c r="G24" s="375"/>
      <c r="H24" s="375"/>
      <c r="I24" s="375"/>
      <c r="J24" s="375"/>
      <c r="K24" s="375"/>
      <c r="L24" s="375"/>
      <c r="M24" s="375"/>
      <c r="N24" s="375"/>
      <c r="O24" s="375"/>
      <c r="P24" s="375"/>
      <c r="Q24" s="375"/>
      <c r="R24" s="375"/>
      <c r="S24" s="375"/>
      <c r="T24" s="375"/>
      <c r="U24" s="375"/>
      <c r="V24" s="375"/>
      <c r="W24" s="375"/>
      <c r="X24" s="375" t="s">
        <v>17</v>
      </c>
      <c r="Y24" s="375"/>
      <c r="Z24" s="375"/>
      <c r="AA24" s="375"/>
      <c r="AB24" s="375"/>
      <c r="AC24" s="375"/>
      <c r="AD24" s="375"/>
    </row>
    <row r="25" spans="2:30" ht="15">
      <c r="B25" s="376"/>
      <c r="C25" s="375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  <c r="P25" s="375"/>
      <c r="Q25" s="375"/>
      <c r="R25" s="375"/>
      <c r="S25" s="375"/>
      <c r="T25" s="375"/>
      <c r="U25" s="375"/>
      <c r="V25" s="375"/>
      <c r="W25" s="375"/>
      <c r="X25" s="375" t="s">
        <v>232</v>
      </c>
      <c r="Y25" s="375"/>
      <c r="Z25" s="375"/>
      <c r="AA25" s="375"/>
      <c r="AB25" s="375"/>
      <c r="AC25" s="375"/>
      <c r="AD25" s="375"/>
    </row>
    <row r="26" spans="2:30" ht="15">
      <c r="B26" s="376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 t="s">
        <v>219</v>
      </c>
      <c r="Y26" s="375"/>
      <c r="Z26" s="375"/>
      <c r="AA26" s="375"/>
      <c r="AB26" s="375"/>
      <c r="AC26" s="375"/>
      <c r="AD26" s="375"/>
    </row>
    <row r="27" spans="2:30" s="158" customFormat="1" ht="12">
      <c r="B27" s="287" t="s">
        <v>312</v>
      </c>
      <c r="C27" s="287">
        <f aca="true" t="shared" si="0" ref="C27:W27">COUNTA(C3:C26)</f>
        <v>19</v>
      </c>
      <c r="D27" s="287">
        <f t="shared" si="0"/>
        <v>14</v>
      </c>
      <c r="E27" s="287">
        <f t="shared" si="0"/>
        <v>13</v>
      </c>
      <c r="F27" s="287">
        <f t="shared" si="0"/>
        <v>18</v>
      </c>
      <c r="G27" s="287">
        <f t="shared" si="0"/>
        <v>0</v>
      </c>
      <c r="H27" s="287">
        <f t="shared" si="0"/>
        <v>13</v>
      </c>
      <c r="I27" s="287">
        <f t="shared" si="0"/>
        <v>14</v>
      </c>
      <c r="J27" s="287">
        <f t="shared" si="0"/>
        <v>17</v>
      </c>
      <c r="K27" s="287">
        <f t="shared" si="0"/>
        <v>0</v>
      </c>
      <c r="L27" s="287">
        <f t="shared" si="0"/>
        <v>17</v>
      </c>
      <c r="M27" s="287">
        <f t="shared" si="0"/>
        <v>19</v>
      </c>
      <c r="N27" s="287">
        <f t="shared" si="0"/>
        <v>18</v>
      </c>
      <c r="O27" s="287">
        <f t="shared" si="0"/>
        <v>16</v>
      </c>
      <c r="P27" s="287">
        <f t="shared" si="0"/>
        <v>16</v>
      </c>
      <c r="Q27" s="287">
        <f t="shared" si="0"/>
        <v>0</v>
      </c>
      <c r="R27" s="287">
        <f t="shared" si="0"/>
        <v>0</v>
      </c>
      <c r="S27" s="287">
        <f t="shared" si="0"/>
        <v>0</v>
      </c>
      <c r="T27" s="287">
        <f t="shared" si="0"/>
        <v>0</v>
      </c>
      <c r="U27" s="287">
        <f t="shared" si="0"/>
        <v>0</v>
      </c>
      <c r="V27" s="287">
        <f t="shared" si="0"/>
        <v>17</v>
      </c>
      <c r="W27" s="287">
        <f t="shared" si="0"/>
        <v>18</v>
      </c>
      <c r="X27" s="287">
        <f aca="true" t="shared" si="1" ref="X27:AD27">COUNTA(X3:X26)</f>
        <v>20</v>
      </c>
      <c r="Y27" s="287">
        <f t="shared" si="1"/>
        <v>18</v>
      </c>
      <c r="Z27" s="287">
        <f t="shared" si="1"/>
        <v>0</v>
      </c>
      <c r="AA27" s="287">
        <f t="shared" si="1"/>
        <v>17</v>
      </c>
      <c r="AB27" s="287">
        <f t="shared" si="1"/>
        <v>15</v>
      </c>
      <c r="AC27" s="287">
        <f t="shared" si="1"/>
        <v>15</v>
      </c>
      <c r="AD27" s="287">
        <f t="shared" si="1"/>
        <v>0</v>
      </c>
    </row>
    <row r="28" s="158" customFormat="1" ht="12"/>
    <row r="29" s="158" customFormat="1" ht="12"/>
    <row r="30" ht="12">
      <c r="J30" s="158"/>
    </row>
    <row r="31" ht="12">
      <c r="J31" s="158"/>
    </row>
    <row r="32" ht="12">
      <c r="J32" s="158"/>
    </row>
    <row r="33" ht="12">
      <c r="J33" s="158"/>
    </row>
    <row r="34" ht="12">
      <c r="J34" s="158"/>
    </row>
    <row r="35" ht="12">
      <c r="J35" s="158"/>
    </row>
    <row r="36" ht="12">
      <c r="J36" s="158"/>
    </row>
    <row r="37" ht="12">
      <c r="J37" s="158"/>
    </row>
    <row r="38" ht="12">
      <c r="J38" s="158"/>
    </row>
    <row r="39" ht="12">
      <c r="J39" s="158"/>
    </row>
    <row r="40" ht="12">
      <c r="J40" s="158"/>
    </row>
    <row r="41" ht="12">
      <c r="J41" s="158"/>
    </row>
    <row r="42" ht="12">
      <c r="J42" s="158"/>
    </row>
    <row r="43" ht="12">
      <c r="J43" s="158"/>
    </row>
    <row r="44" ht="12">
      <c r="J44" s="158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E33" sqref="E33"/>
    </sheetView>
  </sheetViews>
  <sheetFormatPr defaultColWidth="11.57421875" defaultRowHeight="12.75"/>
  <cols>
    <col min="1" max="1" width="8.421875" style="0" customWidth="1"/>
    <col min="2" max="3" width="11.421875" style="0" customWidth="1"/>
    <col min="4" max="4" width="43.00390625" style="0" customWidth="1"/>
    <col min="5" max="5" width="17.28125" style="349" bestFit="1" customWidth="1"/>
    <col min="6" max="6" width="12.140625" style="61" customWidth="1"/>
    <col min="7" max="7" width="21.7109375" style="349" bestFit="1" customWidth="1"/>
    <col min="8" max="8" width="18.28125" style="61" customWidth="1"/>
    <col min="9" max="16384" width="11.421875" style="0" customWidth="1"/>
  </cols>
  <sheetData>
    <row r="1" spans="1:8" ht="27.75">
      <c r="A1" s="453" t="s">
        <v>190</v>
      </c>
      <c r="B1" s="453"/>
      <c r="C1" s="453"/>
      <c r="D1" s="453"/>
      <c r="E1" s="453"/>
      <c r="F1" s="453"/>
      <c r="G1" s="453"/>
      <c r="H1" s="453"/>
    </row>
    <row r="2" spans="1:9" s="61" customFormat="1" ht="15">
      <c r="A2" s="276" t="s">
        <v>82</v>
      </c>
      <c r="B2" s="276" t="s">
        <v>146</v>
      </c>
      <c r="C2" s="276" t="s">
        <v>147</v>
      </c>
      <c r="D2" s="276" t="s">
        <v>148</v>
      </c>
      <c r="E2" s="276" t="s">
        <v>178</v>
      </c>
      <c r="F2" s="276" t="s">
        <v>179</v>
      </c>
      <c r="G2" s="276" t="s">
        <v>180</v>
      </c>
      <c r="H2" s="276" t="s">
        <v>263</v>
      </c>
      <c r="I2" s="217"/>
    </row>
    <row r="3" spans="1:8" ht="15">
      <c r="A3" s="218">
        <f>Tourplan!A9</f>
        <v>41711</v>
      </c>
      <c r="B3" s="222">
        <f>Tourplan!B9</f>
        <v>0.6666666666666666</v>
      </c>
      <c r="C3" s="223">
        <f>Tourplan!C9</f>
        <v>5000000</v>
      </c>
      <c r="D3" s="221" t="str">
        <f>Tourplan!D9</f>
        <v>Valspar Championship</v>
      </c>
      <c r="E3" s="308" t="str">
        <f>'13-03'!A4</f>
        <v>Jan Hegner</v>
      </c>
      <c r="F3" s="307">
        <f>'13-03'!C4</f>
        <v>18</v>
      </c>
      <c r="G3" s="324" t="s">
        <v>224</v>
      </c>
      <c r="H3" s="220" t="s">
        <v>264</v>
      </c>
    </row>
    <row r="4" spans="1:8" ht="15">
      <c r="A4" s="218">
        <f>Tourplan!A10</f>
        <v>41718</v>
      </c>
      <c r="B4" s="222">
        <f>Tourplan!B10</f>
        <v>0.6666666666666666</v>
      </c>
      <c r="C4" s="223">
        <f>Tourplan!C10</f>
        <v>5000000</v>
      </c>
      <c r="D4" s="221" t="str">
        <f>Tourplan!D10</f>
        <v>Arnold Palmer Invitational</v>
      </c>
      <c r="E4" s="308" t="str">
        <f>'20-03'!A4</f>
        <v>Steen N. Pedersen</v>
      </c>
      <c r="F4" s="307">
        <f>'20-03'!C4</f>
        <v>25</v>
      </c>
      <c r="G4" s="324" t="s">
        <v>41</v>
      </c>
      <c r="H4" s="220" t="s">
        <v>265</v>
      </c>
    </row>
    <row r="5" spans="1:8" ht="15">
      <c r="A5" s="218">
        <f>Tourplan!A11</f>
        <v>41725</v>
      </c>
      <c r="B5" s="222">
        <f>Tourplan!B11</f>
        <v>0.6666666666666666</v>
      </c>
      <c r="C5" s="223">
        <f>Tourplan!C11</f>
        <v>6000000</v>
      </c>
      <c r="D5" s="221" t="str">
        <f>Tourplan!D11</f>
        <v>Valero Texas Open</v>
      </c>
      <c r="E5" s="308" t="str">
        <f>'27-03'!A4</f>
        <v>Claus Jessen</v>
      </c>
      <c r="F5" s="223">
        <f>'27-03'!C4</f>
        <v>27</v>
      </c>
      <c r="G5" s="322" t="s">
        <v>224</v>
      </c>
      <c r="H5" s="220" t="s">
        <v>266</v>
      </c>
    </row>
    <row r="6" spans="1:8" ht="15.75" thickBot="1">
      <c r="A6" s="270">
        <f>Tourplan!A12</f>
        <v>41732</v>
      </c>
      <c r="B6" s="271">
        <f>Tourplan!B12</f>
        <v>0.6666666666666666</v>
      </c>
      <c r="C6" s="272">
        <f>Tourplan!C12</f>
        <v>6000000</v>
      </c>
      <c r="D6" s="273" t="str">
        <f>Tourplan!D12</f>
        <v>Shell Houston Open</v>
      </c>
      <c r="E6" s="309" t="s">
        <v>41</v>
      </c>
      <c r="F6" s="274">
        <v>39</v>
      </c>
      <c r="G6" s="309" t="s">
        <v>31</v>
      </c>
      <c r="H6" s="274" t="s">
        <v>267</v>
      </c>
    </row>
    <row r="7" spans="1:8" ht="15">
      <c r="A7" s="218">
        <f>Tourplan!A13</f>
        <v>41739</v>
      </c>
      <c r="B7" s="222">
        <f>Tourplan!B13</f>
        <v>0.6666666666666666</v>
      </c>
      <c r="C7" s="223">
        <f>Tourplan!C13</f>
        <v>8000000</v>
      </c>
      <c r="D7" s="221" t="str">
        <f>Tourplan!D13</f>
        <v>MASTERS TOURNAMENT</v>
      </c>
      <c r="E7" s="308" t="s">
        <v>31</v>
      </c>
      <c r="F7" s="220">
        <v>39</v>
      </c>
      <c r="G7" s="308" t="s">
        <v>49</v>
      </c>
      <c r="H7" s="220" t="s">
        <v>268</v>
      </c>
    </row>
    <row r="8" spans="1:8" ht="15">
      <c r="A8" s="218">
        <f>Tourplan!A14</f>
        <v>41746</v>
      </c>
      <c r="B8" s="222">
        <f>Tourplan!B14</f>
        <v>0.3333333333333333</v>
      </c>
      <c r="C8" s="223">
        <f>Tourplan!C14</f>
        <v>6000000</v>
      </c>
      <c r="D8" s="221" t="str">
        <f>Tourplan!D14</f>
        <v>RBC Heritage</v>
      </c>
      <c r="E8" s="308" t="s">
        <v>41</v>
      </c>
      <c r="F8" s="220">
        <v>33</v>
      </c>
      <c r="G8" s="308" t="s">
        <v>33</v>
      </c>
      <c r="H8" s="220" t="s">
        <v>269</v>
      </c>
    </row>
    <row r="9" spans="1:8" ht="15">
      <c r="A9" s="218">
        <f>Tourplan!A15</f>
        <v>41753</v>
      </c>
      <c r="B9" s="222">
        <f>Tourplan!B15</f>
        <v>0.6666666666666666</v>
      </c>
      <c r="C9" s="223">
        <f>Tourplan!C15</f>
        <v>6000000</v>
      </c>
      <c r="D9" s="221" t="str">
        <f>Tourplan!D15</f>
        <v>Zürich Classic of New Orleans</v>
      </c>
      <c r="E9" s="308" t="str">
        <f>'24-04'!A4</f>
        <v>Ole Malmskov</v>
      </c>
      <c r="F9" s="223">
        <f>'24-04'!C4</f>
        <v>37</v>
      </c>
      <c r="G9" s="322" t="s">
        <v>47</v>
      </c>
      <c r="H9" s="220" t="s">
        <v>270</v>
      </c>
    </row>
    <row r="10" spans="1:8" ht="15.75" thickBot="1">
      <c r="A10" s="270">
        <f>Tourplan!A16</f>
        <v>41760</v>
      </c>
      <c r="B10" s="271">
        <f>Tourplan!B16</f>
        <v>0.6666666666666666</v>
      </c>
      <c r="C10" s="272">
        <f>Tourplan!C16</f>
        <v>6000000</v>
      </c>
      <c r="D10" s="273" t="str">
        <f>Tourplan!D16</f>
        <v>Wells Fargo Championship</v>
      </c>
      <c r="E10" s="309" t="str">
        <f>'01-05'!A5</f>
        <v>Torben Jacobsen</v>
      </c>
      <c r="F10" s="272">
        <f>'01-05'!C5</f>
        <v>35</v>
      </c>
      <c r="G10" s="334" t="s">
        <v>41</v>
      </c>
      <c r="H10" s="274">
        <v>1.77</v>
      </c>
    </row>
    <row r="11" spans="1:8" ht="15">
      <c r="A11" s="218">
        <f>Tourplan!A17</f>
        <v>41767</v>
      </c>
      <c r="B11" s="222">
        <f>Tourplan!B17</f>
        <v>0.6666666666666666</v>
      </c>
      <c r="C11" s="223">
        <f>Tourplan!C17</f>
        <v>8000000</v>
      </c>
      <c r="D11" s="221" t="str">
        <f>Tourplan!D17</f>
        <v>THE PLAYERS CHAMPIONSHIP</v>
      </c>
      <c r="E11" s="308" t="s">
        <v>31</v>
      </c>
      <c r="F11" s="220" t="s">
        <v>261</v>
      </c>
      <c r="G11" s="308" t="str">
        <f>'08-05'!A14</f>
        <v>Carsten Lund</v>
      </c>
      <c r="H11" s="323">
        <f>'08-05'!E14</f>
        <v>3.95</v>
      </c>
    </row>
    <row r="12" spans="1:8" ht="15">
      <c r="A12" s="218">
        <f>Tourplan!A18</f>
        <v>41774</v>
      </c>
      <c r="B12" s="222">
        <f>Tourplan!B18</f>
        <v>0.6666666666666666</v>
      </c>
      <c r="C12" s="223">
        <f>Tourplan!C18</f>
        <v>6000000</v>
      </c>
      <c r="D12" s="221" t="str">
        <f>Tourplan!D18</f>
        <v>HP Byron Nelson Championship</v>
      </c>
      <c r="E12" s="308" t="s">
        <v>40</v>
      </c>
      <c r="F12" s="220" t="s">
        <v>262</v>
      </c>
      <c r="G12" s="308" t="str">
        <f>'15-05'!A6</f>
        <v>Jesper Vohs Nielsen</v>
      </c>
      <c r="H12" s="323">
        <f>'15-05'!E6</f>
        <v>3.57</v>
      </c>
    </row>
    <row r="13" spans="1:8" ht="15">
      <c r="A13" s="218">
        <f>Tourplan!A19</f>
        <v>41781</v>
      </c>
      <c r="B13" s="222">
        <f>Tourplan!B19</f>
        <v>0.6666666666666666</v>
      </c>
      <c r="C13" s="223">
        <f>Tourplan!C19</f>
        <v>6000000</v>
      </c>
      <c r="D13" s="221" t="str">
        <f>Tourplan!D19</f>
        <v>Crowne Plaza Invitational</v>
      </c>
      <c r="E13" s="308" t="str">
        <f>'22-05'!A4</f>
        <v>Jens Laigaard</v>
      </c>
      <c r="F13" s="223">
        <f>'22-05'!C4</f>
        <v>37</v>
      </c>
      <c r="G13" s="308" t="str">
        <f>'22-05'!A8</f>
        <v>Poul D. Andersen</v>
      </c>
      <c r="H13" s="323">
        <f>'22-05'!E8</f>
        <v>12.42</v>
      </c>
    </row>
    <row r="14" spans="1:8" ht="15">
      <c r="A14" s="218">
        <f>Tourplan!A20</f>
        <v>41788</v>
      </c>
      <c r="B14" s="222">
        <f>Tourplan!B20</f>
        <v>0.3333333333333333</v>
      </c>
      <c r="C14" s="223">
        <f>Tourplan!C20</f>
        <v>6000000</v>
      </c>
      <c r="D14" s="221" t="str">
        <f>Tourplan!D20</f>
        <v>the Memorial Tournament </v>
      </c>
      <c r="E14" s="308" t="str">
        <f>'29-05'!A4</f>
        <v>Karsten Valeur</v>
      </c>
      <c r="F14" s="223">
        <f>'29-05'!C4</f>
        <v>39</v>
      </c>
      <c r="G14" s="308" t="str">
        <f>'29-05'!A9</f>
        <v>Jakob Kristensen</v>
      </c>
      <c r="H14" s="323">
        <f>'29-05'!E9</f>
        <v>10.36</v>
      </c>
    </row>
    <row r="15" spans="1:8" ht="15.75" thickBot="1">
      <c r="A15" s="270">
        <f>Tourplan!A21</f>
        <v>41795</v>
      </c>
      <c r="B15" s="271">
        <f>Tourplan!B21</f>
        <v>0.6666666666666666</v>
      </c>
      <c r="C15" s="272">
        <f>Tourplan!C21</f>
        <v>6000000</v>
      </c>
      <c r="D15" s="273" t="str">
        <f>Tourplan!D21</f>
        <v>FedEx St. Jude Classic</v>
      </c>
      <c r="E15" s="309" t="str">
        <f>'05-06'!A4</f>
        <v>Jesper Vohs Nielsen</v>
      </c>
      <c r="F15" s="348">
        <f>'05-06'!C4</f>
        <v>36</v>
      </c>
      <c r="G15" s="309" t="str">
        <f>'05-06'!A7</f>
        <v>Carsten Lund</v>
      </c>
      <c r="H15" s="325">
        <f>'05-06'!E7</f>
        <v>2.16</v>
      </c>
    </row>
    <row r="16" spans="1:8" ht="15">
      <c r="A16" s="218">
        <f>Tourplan!A22</f>
        <v>41802</v>
      </c>
      <c r="B16" s="222">
        <f>Tourplan!B22</f>
        <v>0.6666666666666666</v>
      </c>
      <c r="C16" s="223">
        <f>Tourplan!C22</f>
        <v>8000000</v>
      </c>
      <c r="D16" s="221" t="str">
        <f>Tourplan!D22</f>
        <v>U.S. OPEN</v>
      </c>
      <c r="E16" s="308" t="str">
        <f>'12-06'!A4</f>
        <v>Thorkild Jensen</v>
      </c>
      <c r="F16" s="223">
        <f>'12-06'!C4</f>
        <v>64</v>
      </c>
      <c r="G16" s="308" t="str">
        <f>'12-06'!A8</f>
        <v>Jesper Vohs Nielsen</v>
      </c>
      <c r="H16" s="323">
        <f>'12-06'!E8</f>
        <v>0.9</v>
      </c>
    </row>
    <row r="17" spans="1:8" ht="15">
      <c r="A17" s="218">
        <f>Tourplan!A23</f>
        <v>41809</v>
      </c>
      <c r="B17" s="222">
        <f>Tourplan!B23</f>
        <v>0.6666666666666666</v>
      </c>
      <c r="C17" s="223">
        <f>Tourplan!C23</f>
        <v>6000000</v>
      </c>
      <c r="D17" s="221" t="str">
        <f>Tourplan!D23</f>
        <v>Travelers Championship</v>
      </c>
      <c r="E17" s="308" t="str">
        <f>'19-06'!A4</f>
        <v>Karsten Valeur</v>
      </c>
      <c r="F17" s="223">
        <f>'19-06'!C4</f>
        <v>38</v>
      </c>
      <c r="G17" s="308" t="str">
        <f>'19-06'!A16</f>
        <v>Henning Vestergaard</v>
      </c>
      <c r="H17" s="323">
        <f>'19-06'!E16</f>
        <v>4.72</v>
      </c>
    </row>
    <row r="18" spans="1:8" ht="15">
      <c r="A18" s="218">
        <f>Tourplan!A24</f>
        <v>41816</v>
      </c>
      <c r="B18" s="222">
        <f>Tourplan!B24</f>
        <v>0.6666666666666666</v>
      </c>
      <c r="C18" s="223">
        <f>Tourplan!C24</f>
        <v>6000000</v>
      </c>
      <c r="D18" s="221" t="str">
        <f>Tourplan!D24</f>
        <v>Quicken Loans National</v>
      </c>
      <c r="E18" s="308" t="str">
        <f>'26-06'!A4</f>
        <v>Jakob Kristensen</v>
      </c>
      <c r="F18" s="307">
        <f>'26-06'!C4</f>
        <v>41</v>
      </c>
      <c r="G18" s="308" t="str">
        <f>'26-06'!A13</f>
        <v>Hans Martin Vestergaard</v>
      </c>
      <c r="H18" s="323">
        <f>'26-06'!E13</f>
        <v>1.33</v>
      </c>
    </row>
    <row r="19" spans="1:8" ht="15.75" thickBot="1">
      <c r="A19" s="270">
        <f>Tourplan!A25</f>
        <v>41823</v>
      </c>
      <c r="B19" s="271">
        <f>Tourplan!B25</f>
        <v>0.6666666666666666</v>
      </c>
      <c r="C19" s="272">
        <f>Tourplan!C25</f>
        <v>6000000</v>
      </c>
      <c r="D19" s="273" t="str">
        <f>Tourplan!D25</f>
        <v>The Greenbrier Classic</v>
      </c>
      <c r="E19" s="309" t="str">
        <f>'03-07'!A4</f>
        <v>Jesper Vohs Nielsen</v>
      </c>
      <c r="F19" s="348">
        <f>'03-07'!C5</f>
        <v>70</v>
      </c>
      <c r="G19" s="309" t="str">
        <f>'03-07'!A4</f>
        <v>Jesper Vohs Nielsen</v>
      </c>
      <c r="H19" s="325">
        <f>'03-07'!E4</f>
        <v>3.45</v>
      </c>
    </row>
    <row r="20" spans="1:8" ht="15">
      <c r="A20" s="218">
        <f>Tourplan!A26</f>
        <v>41830</v>
      </c>
      <c r="B20" s="222">
        <f>Tourplan!B26</f>
        <v>0.6666666666666666</v>
      </c>
      <c r="C20" s="223">
        <f>Tourplan!C26</f>
        <v>6000000</v>
      </c>
      <c r="D20" s="221" t="str">
        <f>Tourplan!D26</f>
        <v>John Deere Classic</v>
      </c>
      <c r="E20" s="308" t="str">
        <f>'10-07'!A4</f>
        <v>Erik M. Pedersen</v>
      </c>
      <c r="F20" s="307">
        <f>'10-07'!C4</f>
        <v>33</v>
      </c>
      <c r="G20" s="308" t="str">
        <f>'10-07'!A10</f>
        <v>John Sørensen</v>
      </c>
      <c r="H20" s="323">
        <f>'10-07'!E10</f>
        <v>10.27</v>
      </c>
    </row>
    <row r="21" spans="1:8" ht="15">
      <c r="A21" s="218">
        <f>Tourplan!A27</f>
        <v>41837</v>
      </c>
      <c r="B21" s="222">
        <f>Tourplan!B27</f>
        <v>0.6666666666666666</v>
      </c>
      <c r="C21" s="223">
        <f>Tourplan!C27</f>
        <v>8000000</v>
      </c>
      <c r="D21" s="221" t="str">
        <f>Tourplan!D27</f>
        <v>THE OPEN CHAMPIONSHIP</v>
      </c>
      <c r="E21" s="308" t="str">
        <f>'17-07'!A4</f>
        <v>Jakob Kristensen</v>
      </c>
      <c r="F21" s="223">
        <f>'17-07'!C4</f>
        <v>36</v>
      </c>
      <c r="G21" s="308" t="str">
        <f>'17-07'!A12</f>
        <v>Thorkild Jensen</v>
      </c>
      <c r="H21" s="323">
        <f>'17-07'!E12</f>
        <v>14.45</v>
      </c>
    </row>
    <row r="22" spans="1:8" ht="15">
      <c r="A22" s="218">
        <f>Tourplan!A28</f>
        <v>41844</v>
      </c>
      <c r="B22" s="222">
        <f>Tourplan!B28</f>
        <v>0.6666666666666666</v>
      </c>
      <c r="C22" s="223">
        <f>Tourplan!C28</f>
        <v>6000000</v>
      </c>
      <c r="D22" s="221" t="str">
        <f>Tourplan!D28</f>
        <v>RBC Canadian Open</v>
      </c>
      <c r="E22" s="308" t="str">
        <f>'24-07'!A4</f>
        <v>Jan Hegner</v>
      </c>
      <c r="F22" s="223">
        <f>'24-07'!C4</f>
        <v>36</v>
      </c>
      <c r="G22" s="308" t="s">
        <v>112</v>
      </c>
      <c r="H22" s="323" t="s">
        <v>112</v>
      </c>
    </row>
    <row r="23" spans="1:8" ht="15">
      <c r="A23" s="218">
        <f>Tourplan!A29</f>
        <v>41851</v>
      </c>
      <c r="B23" s="222">
        <f>Tourplan!B29</f>
        <v>0.6666666666666666</v>
      </c>
      <c r="C23" s="223">
        <f>Tourplan!C29</f>
        <v>6000000</v>
      </c>
      <c r="D23" s="221" t="str">
        <f>Tourplan!D29</f>
        <v>World Golf Championships-Bridgestone Invitational</v>
      </c>
      <c r="E23" s="310" t="str">
        <f>'31-07'!A4</f>
        <v>Robin Thybo</v>
      </c>
      <c r="F23" s="364">
        <f>'31-07'!C4</f>
        <v>37</v>
      </c>
      <c r="G23" s="310" t="str">
        <f>'31-07'!A13</f>
        <v>Børge Heiberg</v>
      </c>
      <c r="H23" s="326">
        <f>'31-07'!E13</f>
        <v>5.08</v>
      </c>
    </row>
    <row r="24" spans="1:8" ht="15.75" thickBot="1">
      <c r="A24" s="270">
        <f>Tourplan!A30</f>
        <v>41858</v>
      </c>
      <c r="B24" s="271">
        <f>Tourplan!B30</f>
        <v>0.6666666666666666</v>
      </c>
      <c r="C24" s="272">
        <f>Tourplan!C30</f>
        <v>8000000</v>
      </c>
      <c r="D24" s="273" t="str">
        <f>Tourplan!D30</f>
        <v>PGA CHAMPIONSHIP</v>
      </c>
      <c r="E24" s="309" t="s">
        <v>30</v>
      </c>
      <c r="F24" s="272">
        <f>'07-08'!C4</f>
        <v>71</v>
      </c>
      <c r="G24" s="309" t="s">
        <v>30</v>
      </c>
      <c r="H24" s="325">
        <f>'07-08'!E4</f>
        <v>0.86</v>
      </c>
    </row>
    <row r="25" spans="1:8" ht="15">
      <c r="A25" s="218">
        <f>Tourplan!A31</f>
        <v>41865</v>
      </c>
      <c r="B25" s="222">
        <f>Tourplan!B31</f>
        <v>0.6666666666666666</v>
      </c>
      <c r="C25" s="223">
        <f>Tourplan!C31</f>
        <v>6000000</v>
      </c>
      <c r="D25" s="221" t="str">
        <f>Tourplan!D31</f>
        <v>Made in Denmark</v>
      </c>
      <c r="E25" s="308" t="str">
        <f>'14-08'!A4</f>
        <v>Ole Malmskov</v>
      </c>
      <c r="F25" s="223">
        <f>'14-08'!C4</f>
        <v>42</v>
      </c>
      <c r="G25" s="308" t="str">
        <f>'14-08'!A12</f>
        <v>Torben Jacobsen</v>
      </c>
      <c r="H25" s="323">
        <f>'14-08'!E12</f>
        <v>6.69</v>
      </c>
    </row>
    <row r="26" spans="1:8" ht="15">
      <c r="A26" s="218">
        <f>Tourplan!A32</f>
        <v>41872</v>
      </c>
      <c r="B26" s="222">
        <f>Tourplan!B32</f>
        <v>0.6666666666666666</v>
      </c>
      <c r="C26" s="223">
        <f>Tourplan!C32</f>
        <v>6000000</v>
      </c>
      <c r="D26" s="221" t="str">
        <f>Tourplan!D32</f>
        <v>The Barclays</v>
      </c>
      <c r="E26" s="308" t="s">
        <v>317</v>
      </c>
      <c r="F26" s="220">
        <v>61</v>
      </c>
      <c r="G26" s="308" t="str">
        <f>'21-08'!A6</f>
        <v>Robin Thybo</v>
      </c>
      <c r="H26" s="323">
        <f>'21-08'!E6</f>
        <v>7.65</v>
      </c>
    </row>
    <row r="27" spans="1:8" ht="15">
      <c r="A27" s="218">
        <f>Tourplan!A33</f>
        <v>41879</v>
      </c>
      <c r="B27" s="222">
        <f>Tourplan!B33</f>
        <v>0.6666666666666666</v>
      </c>
      <c r="C27" s="223">
        <f>Tourplan!C33</f>
        <v>6000000</v>
      </c>
      <c r="D27" s="221" t="str">
        <f>Tourplan!D33</f>
        <v>Deutsche Bank Championship</v>
      </c>
      <c r="E27" s="308" t="str">
        <f>'28-08'!A4</f>
        <v>Ole Malmskov</v>
      </c>
      <c r="F27" s="307">
        <f>'28-08'!C4</f>
        <v>37</v>
      </c>
      <c r="G27" s="308" t="str">
        <f>'28-08'!A12</f>
        <v>Børge Heiberg</v>
      </c>
      <c r="H27" s="323">
        <f>'28-08'!E12</f>
        <v>0.65</v>
      </c>
    </row>
    <row r="28" spans="1:8" ht="15.75" thickBot="1">
      <c r="A28" s="270">
        <f>Tourplan!A34</f>
        <v>41886</v>
      </c>
      <c r="B28" s="271">
        <f>Tourplan!B34</f>
        <v>0.6666666666666666</v>
      </c>
      <c r="C28" s="272">
        <f>Tourplan!C34</f>
        <v>6000000</v>
      </c>
      <c r="D28" s="273" t="str">
        <f>Tourplan!D34</f>
        <v>BMW Championship</v>
      </c>
      <c r="E28" s="309" t="str">
        <f>'04-09'!A4</f>
        <v>Jens Laigaard</v>
      </c>
      <c r="F28" s="274">
        <v>39</v>
      </c>
      <c r="G28" s="309" t="str">
        <f>'04-09'!A6</f>
        <v>Jesper Vohs Nielsen</v>
      </c>
      <c r="H28" s="325">
        <v>2.71</v>
      </c>
    </row>
    <row r="29" spans="1:8" ht="15">
      <c r="A29" s="218">
        <f>Tourplan!A35</f>
        <v>41893</v>
      </c>
      <c r="B29" s="222">
        <f>Tourplan!B35</f>
        <v>0.6666666666666666</v>
      </c>
      <c r="C29" s="223">
        <f>Tourplan!C35</f>
        <v>6000000</v>
      </c>
      <c r="D29" s="221" t="str">
        <f>Tourplan!D35</f>
        <v>TOUR Championship by Coca-Cola</v>
      </c>
      <c r="E29" s="308" t="str">
        <f>'11-09'!A4</f>
        <v>Torben Jacobsen</v>
      </c>
      <c r="F29" s="220">
        <v>38</v>
      </c>
      <c r="G29" s="308" t="str">
        <f>'11-09'!A6</f>
        <v>Ole Malmskov</v>
      </c>
      <c r="H29" s="323">
        <v>2.91</v>
      </c>
    </row>
    <row r="30" spans="1:8" ht="15">
      <c r="A30" s="218">
        <f>Tourplan!A38</f>
        <v>41900</v>
      </c>
      <c r="B30" s="222">
        <f>Tourplan!B38</f>
        <v>0.6666666666666666</v>
      </c>
      <c r="C30" s="223">
        <f>Tourplan!C38</f>
        <v>5000000</v>
      </c>
      <c r="D30" s="221" t="str">
        <f>Tourplan!D38</f>
        <v>InnGolf Championship</v>
      </c>
      <c r="E30" s="308" t="str">
        <f>'18-09'!A4</f>
        <v>Carsten Dahl</v>
      </c>
      <c r="F30" s="220">
        <v>36</v>
      </c>
      <c r="G30" s="308" t="str">
        <f>'18-09'!A13</f>
        <v>Jens Laigaard</v>
      </c>
      <c r="H30" s="323">
        <v>13.4</v>
      </c>
    </row>
    <row r="31" spans="1:8" ht="15.75" thickBot="1">
      <c r="A31" s="270">
        <f>Tourplan!A39</f>
        <v>41907</v>
      </c>
      <c r="B31" s="271">
        <f>Tourplan!B39</f>
        <v>0.6666666666666666</v>
      </c>
      <c r="C31" s="272">
        <f>Tourplan!C39</f>
        <v>5000000</v>
      </c>
      <c r="D31" s="273" t="str">
        <f>Tourplan!D39</f>
        <v>Ryder Cup</v>
      </c>
      <c r="E31" s="309" t="str">
        <f>'25-09'!A4</f>
        <v>Carsten Dahl</v>
      </c>
      <c r="F31" s="274">
        <v>32</v>
      </c>
      <c r="G31" s="309" t="str">
        <f>'25-09'!A8</f>
        <v>John Sørensen</v>
      </c>
      <c r="H31" s="325">
        <v>5.34</v>
      </c>
    </row>
    <row r="32" spans="1:8" ht="15">
      <c r="A32" s="218">
        <f>Tourplan!A40</f>
        <v>41914</v>
      </c>
      <c r="B32" s="222">
        <f>Tourplan!B40</f>
        <v>0.6666666666666666</v>
      </c>
      <c r="C32" s="223">
        <f>Tourplan!C40</f>
        <v>5000000</v>
      </c>
      <c r="D32" s="221" t="str">
        <f>Tourplan!D40</f>
        <v>Seve Trophy</v>
      </c>
      <c r="E32" s="308" t="str">
        <f>'02-10'!A4</f>
        <v>Torben Jacobsen</v>
      </c>
      <c r="F32" s="220">
        <v>29</v>
      </c>
      <c r="G32" s="308" t="str">
        <f>'02-10'!A4</f>
        <v>Torben Jacobsen</v>
      </c>
      <c r="H32" s="323">
        <v>7.84</v>
      </c>
    </row>
    <row r="33" spans="1:8" ht="15.75" thickBot="1">
      <c r="A33" s="327">
        <f>Tourplan!A41</f>
        <v>41923</v>
      </c>
      <c r="B33" s="328">
        <f>Tourplan!B41</f>
        <v>0.3333333333333333</v>
      </c>
      <c r="C33" s="329">
        <f>Tourplan!C41</f>
        <v>10000000</v>
      </c>
      <c r="D33" s="330" t="str">
        <f>Tourplan!D41</f>
        <v>The InnGolf Final 2014</v>
      </c>
      <c r="E33" s="331"/>
      <c r="F33" s="332"/>
      <c r="G33" s="331"/>
      <c r="H33" s="333"/>
    </row>
    <row r="34" spans="1:8" ht="15.75" thickTop="1">
      <c r="A34" s="218"/>
      <c r="B34" s="219"/>
      <c r="C34" s="226"/>
      <c r="D34" s="221"/>
      <c r="E34" s="308"/>
      <c r="F34" s="220"/>
      <c r="G34" s="308"/>
      <c r="H34" s="220"/>
    </row>
  </sheetData>
  <sheetProtection selectLockedCells="1" selectUnlockedCells="1"/>
  <mergeCells count="1">
    <mergeCell ref="A1:H1"/>
  </mergeCells>
  <printOptions/>
  <pageMargins left="0.75" right="0.75" top="1" bottom="1" header="0.5118055555555555" footer="0.5118055555555555"/>
  <pageSetup fitToHeight="1" fitToWidth="1" horizontalDpi="300" verticalDpi="300" orientation="landscape" paperSize="9" scale="84"/>
</worksheet>
</file>

<file path=xl/worksheets/sheet5.xml><?xml version="1.0" encoding="utf-8"?>
<worksheet xmlns="http://schemas.openxmlformats.org/spreadsheetml/2006/main" xmlns:r="http://schemas.openxmlformats.org/officeDocument/2006/relationships">
  <dimension ref="A1:AQ31"/>
  <sheetViews>
    <sheetView zoomScale="150" zoomScaleNormal="150" workbookViewId="0" topLeftCell="A2">
      <selection activeCell="K35" sqref="K35"/>
    </sheetView>
  </sheetViews>
  <sheetFormatPr defaultColWidth="9.140625" defaultRowHeight="12.75"/>
  <cols>
    <col min="1" max="1" width="2.140625" style="67" customWidth="1"/>
    <col min="2" max="2" width="25.00390625" style="67" customWidth="1"/>
    <col min="3" max="3" width="15.140625" style="95" customWidth="1"/>
    <col min="4" max="18" width="3.28125" style="95" customWidth="1"/>
    <col min="19" max="31" width="3.28125" style="69" customWidth="1"/>
    <col min="32" max="36" width="3.28125" style="67" customWidth="1"/>
    <col min="37" max="37" width="3.8515625" style="96" customWidth="1"/>
    <col min="38" max="42" width="3.8515625" style="67" customWidth="1"/>
    <col min="43" max="16384" width="9.140625" style="67" customWidth="1"/>
  </cols>
  <sheetData>
    <row r="1" spans="3:42" ht="21.75" customHeight="1">
      <c r="C1" s="70" t="s">
        <v>70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67"/>
      <c r="AP1" s="96"/>
    </row>
    <row r="2" spans="2:42" s="72" customFormat="1" ht="68.25" customHeight="1">
      <c r="B2" s="73"/>
      <c r="C2" s="109" t="s">
        <v>71</v>
      </c>
      <c r="D2" s="335" t="s">
        <v>349</v>
      </c>
      <c r="E2" s="335" t="s">
        <v>275</v>
      </c>
      <c r="F2" s="335" t="s">
        <v>276</v>
      </c>
      <c r="G2" s="314">
        <v>41900</v>
      </c>
      <c r="H2" s="314">
        <v>41893</v>
      </c>
      <c r="I2" s="378">
        <v>41888</v>
      </c>
      <c r="J2" s="314">
        <v>41886</v>
      </c>
      <c r="K2" s="314">
        <v>41879</v>
      </c>
      <c r="L2" s="313">
        <v>41872</v>
      </c>
      <c r="M2" s="313">
        <v>41865</v>
      </c>
      <c r="N2" s="313">
        <v>41858</v>
      </c>
      <c r="O2" s="313">
        <v>41851</v>
      </c>
      <c r="P2" s="313">
        <v>41844</v>
      </c>
      <c r="Q2" s="313">
        <v>41837</v>
      </c>
      <c r="R2" s="313">
        <v>41830</v>
      </c>
      <c r="S2" s="313">
        <v>41823</v>
      </c>
      <c r="T2" s="313">
        <v>41816</v>
      </c>
      <c r="U2" s="313">
        <v>41811</v>
      </c>
      <c r="V2" s="313">
        <v>41809</v>
      </c>
      <c r="W2" s="313">
        <v>41802</v>
      </c>
      <c r="X2" s="313">
        <v>41795</v>
      </c>
      <c r="Y2" s="313">
        <v>41788</v>
      </c>
      <c r="Z2" s="313">
        <v>41781</v>
      </c>
      <c r="AA2" s="313">
        <v>41774</v>
      </c>
      <c r="AB2" s="313">
        <v>41767</v>
      </c>
      <c r="AC2" s="313">
        <v>41760</v>
      </c>
      <c r="AD2" s="313">
        <v>41753</v>
      </c>
      <c r="AE2" s="313">
        <v>41746</v>
      </c>
      <c r="AF2" s="313">
        <v>41739</v>
      </c>
      <c r="AG2" s="314">
        <v>41732</v>
      </c>
      <c r="AH2" s="313">
        <v>41725</v>
      </c>
      <c r="AI2" s="313">
        <v>41718</v>
      </c>
      <c r="AJ2" s="313">
        <v>41711</v>
      </c>
      <c r="AK2" s="315" t="s">
        <v>72</v>
      </c>
      <c r="AL2" s="315" t="s">
        <v>73</v>
      </c>
      <c r="AM2" s="315" t="s">
        <v>74</v>
      </c>
      <c r="AN2" s="315" t="s">
        <v>186</v>
      </c>
      <c r="AP2" s="99"/>
    </row>
    <row r="3" spans="2:42" ht="15">
      <c r="B3" s="261" t="s">
        <v>31</v>
      </c>
      <c r="C3" s="262">
        <f aca="true" t="shared" si="0" ref="C3:C26">(SUM(D3:AJ3)+AL3*37)/AM3</f>
        <v>29.5</v>
      </c>
      <c r="D3" s="263">
        <v>31</v>
      </c>
      <c r="E3" s="263">
        <v>31</v>
      </c>
      <c r="F3" s="263"/>
      <c r="G3" s="263">
        <v>29</v>
      </c>
      <c r="H3" s="351" t="s">
        <v>304</v>
      </c>
      <c r="I3" s="351" t="s">
        <v>306</v>
      </c>
      <c r="J3" s="263">
        <v>31</v>
      </c>
      <c r="K3" s="263">
        <v>28</v>
      </c>
      <c r="L3" s="377" t="s">
        <v>112</v>
      </c>
      <c r="M3" s="263"/>
      <c r="N3" s="263">
        <v>27</v>
      </c>
      <c r="O3" s="351" t="s">
        <v>320</v>
      </c>
      <c r="P3" s="351" t="s">
        <v>348</v>
      </c>
      <c r="Q3" s="263">
        <v>31</v>
      </c>
      <c r="R3" s="263">
        <v>31</v>
      </c>
      <c r="S3" s="263">
        <v>28</v>
      </c>
      <c r="T3" s="263">
        <v>26</v>
      </c>
      <c r="U3" s="263">
        <v>32</v>
      </c>
      <c r="V3" s="263"/>
      <c r="W3" s="351" t="s">
        <v>320</v>
      </c>
      <c r="X3" s="263">
        <v>29</v>
      </c>
      <c r="Y3" s="263">
        <v>32</v>
      </c>
      <c r="Z3" s="263">
        <v>31</v>
      </c>
      <c r="AA3" s="351" t="s">
        <v>306</v>
      </c>
      <c r="AB3" s="263">
        <v>28</v>
      </c>
      <c r="AC3" s="351" t="s">
        <v>302</v>
      </c>
      <c r="AD3" s="263">
        <v>30</v>
      </c>
      <c r="AE3" s="351" t="s">
        <v>306</v>
      </c>
      <c r="AF3" s="263">
        <v>27</v>
      </c>
      <c r="AG3" s="263">
        <v>29</v>
      </c>
      <c r="AH3" s="351" t="s">
        <v>348</v>
      </c>
      <c r="AI3" s="351" t="s">
        <v>300</v>
      </c>
      <c r="AJ3" s="352" t="s">
        <v>304</v>
      </c>
      <c r="AK3" s="100">
        <f aca="true" t="shared" si="1" ref="AK3:AK26">COUNTIF(D3:AJ3,"&gt;0")</f>
        <v>18</v>
      </c>
      <c r="AL3" s="101">
        <f aca="true" t="shared" si="2" ref="AL3:AL26">IF(AK3&lt;19,18-AK3,0)</f>
        <v>0</v>
      </c>
      <c r="AM3" s="101">
        <f aca="true" t="shared" si="3" ref="AM3:AM26">SUM(AK3:AL3)</f>
        <v>18</v>
      </c>
      <c r="AN3" s="101">
        <f aca="true" t="shared" si="4" ref="AN3:AN26">LARGE(D3:AJ3,1)</f>
        <v>32</v>
      </c>
      <c r="AP3" s="96" t="str">
        <f aca="true" t="shared" si="5" ref="AP3:AP26">IF(AK3&gt;18,"OBS"," ")</f>
        <v> </v>
      </c>
    </row>
    <row r="4" spans="2:43" s="77" customFormat="1" ht="15">
      <c r="B4" s="261" t="s">
        <v>51</v>
      </c>
      <c r="C4" s="262">
        <f t="shared" si="0"/>
        <v>30.27777777777778</v>
      </c>
      <c r="D4" s="263">
        <v>34</v>
      </c>
      <c r="E4" s="263">
        <v>32</v>
      </c>
      <c r="F4" s="263">
        <v>30</v>
      </c>
      <c r="G4" s="263">
        <v>32</v>
      </c>
      <c r="H4" s="263"/>
      <c r="I4" s="263">
        <v>31</v>
      </c>
      <c r="J4" s="263">
        <v>26</v>
      </c>
      <c r="K4" s="263">
        <v>30</v>
      </c>
      <c r="L4" s="377" t="s">
        <v>112</v>
      </c>
      <c r="M4" s="263">
        <v>33</v>
      </c>
      <c r="N4" s="263">
        <v>32</v>
      </c>
      <c r="O4" s="263">
        <v>29</v>
      </c>
      <c r="P4" s="351" t="s">
        <v>320</v>
      </c>
      <c r="Q4" s="263"/>
      <c r="R4" s="263"/>
      <c r="S4" s="263">
        <v>25</v>
      </c>
      <c r="T4" s="263">
        <v>30</v>
      </c>
      <c r="U4" s="263">
        <v>31</v>
      </c>
      <c r="V4" s="351" t="s">
        <v>320</v>
      </c>
      <c r="W4" s="263">
        <v>31</v>
      </c>
      <c r="X4" s="351" t="s">
        <v>320</v>
      </c>
      <c r="Y4" s="351" t="s">
        <v>320</v>
      </c>
      <c r="Z4" s="351" t="s">
        <v>297</v>
      </c>
      <c r="AA4" s="263"/>
      <c r="AB4" s="263"/>
      <c r="AC4" s="263">
        <v>29</v>
      </c>
      <c r="AD4" s="263">
        <v>30</v>
      </c>
      <c r="AE4" s="351" t="s">
        <v>306</v>
      </c>
      <c r="AF4" s="263"/>
      <c r="AG4" s="351" t="s">
        <v>302</v>
      </c>
      <c r="AH4" s="263">
        <v>33</v>
      </c>
      <c r="AI4" s="263">
        <v>27</v>
      </c>
      <c r="AJ4" s="267"/>
      <c r="AK4" s="100">
        <f t="shared" si="1"/>
        <v>18</v>
      </c>
      <c r="AL4" s="101">
        <f t="shared" si="2"/>
        <v>0</v>
      </c>
      <c r="AM4" s="101">
        <f t="shared" si="3"/>
        <v>18</v>
      </c>
      <c r="AN4" s="101">
        <f t="shared" si="4"/>
        <v>34</v>
      </c>
      <c r="AO4" s="67"/>
      <c r="AP4" s="96" t="str">
        <f t="shared" si="5"/>
        <v> </v>
      </c>
      <c r="AQ4" s="67"/>
    </row>
    <row r="5" spans="2:42" ht="15">
      <c r="B5" s="261" t="s">
        <v>33</v>
      </c>
      <c r="C5" s="262">
        <f t="shared" si="0"/>
        <v>30.944444444444443</v>
      </c>
      <c r="D5" s="263">
        <v>33</v>
      </c>
      <c r="E5" s="351" t="s">
        <v>298</v>
      </c>
      <c r="F5" s="351" t="s">
        <v>306</v>
      </c>
      <c r="G5" s="263"/>
      <c r="H5" s="263">
        <v>30</v>
      </c>
      <c r="I5" s="351" t="s">
        <v>304</v>
      </c>
      <c r="J5" s="351" t="s">
        <v>298</v>
      </c>
      <c r="K5" s="351" t="s">
        <v>320</v>
      </c>
      <c r="L5" s="377" t="s">
        <v>112</v>
      </c>
      <c r="M5" s="263">
        <v>31</v>
      </c>
      <c r="N5" s="263">
        <v>31</v>
      </c>
      <c r="O5" s="263">
        <v>30</v>
      </c>
      <c r="P5" s="263">
        <v>33</v>
      </c>
      <c r="Q5" s="263">
        <v>33</v>
      </c>
      <c r="R5" s="263">
        <v>33</v>
      </c>
      <c r="S5" s="263">
        <v>31</v>
      </c>
      <c r="T5" s="263">
        <v>32</v>
      </c>
      <c r="U5" s="351" t="s">
        <v>320</v>
      </c>
      <c r="V5" s="351" t="s">
        <v>306</v>
      </c>
      <c r="W5" s="263">
        <v>27</v>
      </c>
      <c r="X5" s="263">
        <v>32</v>
      </c>
      <c r="Y5" s="263">
        <v>29</v>
      </c>
      <c r="Z5" s="351" t="s">
        <v>304</v>
      </c>
      <c r="AA5" s="351" t="s">
        <v>306</v>
      </c>
      <c r="AB5" s="263">
        <v>28</v>
      </c>
      <c r="AC5" s="263">
        <v>32</v>
      </c>
      <c r="AD5" s="263">
        <v>30</v>
      </c>
      <c r="AE5" s="351" t="s">
        <v>348</v>
      </c>
      <c r="AF5" s="263">
        <v>30</v>
      </c>
      <c r="AG5" s="351" t="s">
        <v>300</v>
      </c>
      <c r="AH5" s="263"/>
      <c r="AI5" s="263"/>
      <c r="AJ5" s="267">
        <v>32</v>
      </c>
      <c r="AK5" s="100">
        <f t="shared" si="1"/>
        <v>18</v>
      </c>
      <c r="AL5" s="101">
        <f t="shared" si="2"/>
        <v>0</v>
      </c>
      <c r="AM5" s="101">
        <f t="shared" si="3"/>
        <v>18</v>
      </c>
      <c r="AN5" s="101">
        <f t="shared" si="4"/>
        <v>33</v>
      </c>
      <c r="AO5" s="78"/>
      <c r="AP5" s="96" t="str">
        <f t="shared" si="5"/>
        <v> </v>
      </c>
    </row>
    <row r="6" spans="1:43" s="78" customFormat="1" ht="15">
      <c r="A6" s="67"/>
      <c r="B6" s="261" t="s">
        <v>21</v>
      </c>
      <c r="C6" s="262">
        <f t="shared" si="0"/>
        <v>31.27777777777778</v>
      </c>
      <c r="D6" s="263">
        <v>35</v>
      </c>
      <c r="E6" s="263">
        <v>35</v>
      </c>
      <c r="F6" s="263">
        <v>32</v>
      </c>
      <c r="G6" s="351" t="s">
        <v>304</v>
      </c>
      <c r="H6" s="263">
        <v>33</v>
      </c>
      <c r="I6" s="263">
        <v>31</v>
      </c>
      <c r="J6" s="263">
        <v>29</v>
      </c>
      <c r="K6" s="263">
        <v>32</v>
      </c>
      <c r="L6" s="377" t="s">
        <v>112</v>
      </c>
      <c r="M6" s="263">
        <v>35</v>
      </c>
      <c r="N6" s="351" t="s">
        <v>304</v>
      </c>
      <c r="O6" s="263">
        <v>29</v>
      </c>
      <c r="P6" s="263"/>
      <c r="Q6" s="263">
        <v>31</v>
      </c>
      <c r="R6" s="263">
        <v>31</v>
      </c>
      <c r="S6" s="263">
        <v>32</v>
      </c>
      <c r="T6" s="351" t="s">
        <v>306</v>
      </c>
      <c r="U6" s="351" t="s">
        <v>304</v>
      </c>
      <c r="V6" s="351" t="s">
        <v>302</v>
      </c>
      <c r="W6" s="263">
        <v>23</v>
      </c>
      <c r="X6" s="263"/>
      <c r="Y6" s="351" t="s">
        <v>304</v>
      </c>
      <c r="Z6" s="263">
        <v>27</v>
      </c>
      <c r="AA6" s="263"/>
      <c r="AB6" s="263">
        <v>33</v>
      </c>
      <c r="AC6" s="351" t="s">
        <v>304</v>
      </c>
      <c r="AD6" s="263">
        <v>33</v>
      </c>
      <c r="AE6" s="351" t="s">
        <v>306</v>
      </c>
      <c r="AF6" s="263"/>
      <c r="AG6" s="351" t="s">
        <v>302</v>
      </c>
      <c r="AH6" s="263">
        <v>30</v>
      </c>
      <c r="AI6" s="351" t="s">
        <v>297</v>
      </c>
      <c r="AJ6" s="267">
        <v>32</v>
      </c>
      <c r="AK6" s="100">
        <f t="shared" si="1"/>
        <v>18</v>
      </c>
      <c r="AL6" s="101">
        <f t="shared" si="2"/>
        <v>0</v>
      </c>
      <c r="AM6" s="101">
        <f t="shared" si="3"/>
        <v>18</v>
      </c>
      <c r="AN6" s="101">
        <f t="shared" si="4"/>
        <v>35</v>
      </c>
      <c r="AO6" s="67"/>
      <c r="AP6" s="96" t="str">
        <f t="shared" si="5"/>
        <v> </v>
      </c>
      <c r="AQ6" s="67"/>
    </row>
    <row r="7" spans="1:43" s="78" customFormat="1" ht="15">
      <c r="A7" s="67"/>
      <c r="B7" s="261" t="s">
        <v>37</v>
      </c>
      <c r="C7" s="262">
        <f t="shared" si="0"/>
        <v>31.38888888888889</v>
      </c>
      <c r="D7" s="351" t="s">
        <v>300</v>
      </c>
      <c r="E7" s="263">
        <v>30</v>
      </c>
      <c r="F7" s="351" t="s">
        <v>343</v>
      </c>
      <c r="G7" s="351" t="s">
        <v>339</v>
      </c>
      <c r="H7" s="263">
        <v>36</v>
      </c>
      <c r="I7" s="263">
        <v>35</v>
      </c>
      <c r="J7" s="263">
        <v>28</v>
      </c>
      <c r="K7" s="263">
        <v>36</v>
      </c>
      <c r="L7" s="377" t="s">
        <v>112</v>
      </c>
      <c r="M7" s="263">
        <v>33</v>
      </c>
      <c r="N7" s="263"/>
      <c r="O7" s="263">
        <v>31</v>
      </c>
      <c r="P7" s="263">
        <v>34</v>
      </c>
      <c r="Q7" s="263">
        <v>31</v>
      </c>
      <c r="R7" s="263"/>
      <c r="S7" s="263">
        <v>25</v>
      </c>
      <c r="T7" s="351" t="s">
        <v>302</v>
      </c>
      <c r="U7" s="351" t="s">
        <v>302</v>
      </c>
      <c r="V7" s="263">
        <v>29</v>
      </c>
      <c r="W7" s="263">
        <v>26</v>
      </c>
      <c r="X7" s="263">
        <v>29</v>
      </c>
      <c r="Y7" s="351" t="s">
        <v>319</v>
      </c>
      <c r="Z7" s="263">
        <v>36</v>
      </c>
      <c r="AA7" s="263">
        <v>32</v>
      </c>
      <c r="AB7" s="263">
        <v>26</v>
      </c>
      <c r="AC7" s="351" t="s">
        <v>302</v>
      </c>
      <c r="AD7" s="263">
        <v>33</v>
      </c>
      <c r="AE7" s="263"/>
      <c r="AF7" s="263"/>
      <c r="AG7" s="351" t="s">
        <v>310</v>
      </c>
      <c r="AH7" s="263">
        <v>35</v>
      </c>
      <c r="AI7" s="263"/>
      <c r="AJ7" s="352" t="s">
        <v>304</v>
      </c>
      <c r="AK7" s="100">
        <f t="shared" si="1"/>
        <v>18</v>
      </c>
      <c r="AL7" s="101">
        <f t="shared" si="2"/>
        <v>0</v>
      </c>
      <c r="AM7" s="101">
        <f t="shared" si="3"/>
        <v>18</v>
      </c>
      <c r="AN7" s="101">
        <f t="shared" si="4"/>
        <v>36</v>
      </c>
      <c r="AP7" s="96" t="str">
        <f t="shared" si="5"/>
        <v> </v>
      </c>
      <c r="AQ7" s="67"/>
    </row>
    <row r="8" spans="2:42" ht="15">
      <c r="B8" s="261" t="s">
        <v>41</v>
      </c>
      <c r="C8" s="262">
        <f t="shared" si="0"/>
        <v>31.38888888888889</v>
      </c>
      <c r="D8" s="263">
        <v>32</v>
      </c>
      <c r="E8" s="351" t="s">
        <v>298</v>
      </c>
      <c r="F8" s="263"/>
      <c r="G8" s="351" t="s">
        <v>306</v>
      </c>
      <c r="H8" s="263">
        <v>29</v>
      </c>
      <c r="I8" s="351" t="s">
        <v>304</v>
      </c>
      <c r="J8" s="351" t="s">
        <v>304</v>
      </c>
      <c r="K8" s="263">
        <v>29</v>
      </c>
      <c r="L8" s="377" t="s">
        <v>112</v>
      </c>
      <c r="M8" s="263">
        <v>27</v>
      </c>
      <c r="N8" s="263">
        <v>33</v>
      </c>
      <c r="O8" s="263">
        <v>32</v>
      </c>
      <c r="P8" s="263"/>
      <c r="Q8" s="263"/>
      <c r="R8" s="351" t="s">
        <v>302</v>
      </c>
      <c r="S8" s="263">
        <v>32</v>
      </c>
      <c r="T8" s="351" t="s">
        <v>306</v>
      </c>
      <c r="U8" s="351" t="s">
        <v>297</v>
      </c>
      <c r="V8" s="263">
        <v>30</v>
      </c>
      <c r="W8" s="263">
        <v>30</v>
      </c>
      <c r="X8" s="263">
        <v>33</v>
      </c>
      <c r="Y8" s="263">
        <v>31</v>
      </c>
      <c r="Z8" s="263">
        <v>32</v>
      </c>
      <c r="AA8" s="263">
        <v>33</v>
      </c>
      <c r="AB8" s="263">
        <v>31</v>
      </c>
      <c r="AC8" s="263">
        <v>34</v>
      </c>
      <c r="AD8" s="263">
        <v>34</v>
      </c>
      <c r="AE8" s="351" t="s">
        <v>320</v>
      </c>
      <c r="AF8" s="263">
        <v>30</v>
      </c>
      <c r="AG8" s="263">
        <v>33</v>
      </c>
      <c r="AH8" s="351" t="s">
        <v>302</v>
      </c>
      <c r="AI8" s="351" t="s">
        <v>306</v>
      </c>
      <c r="AJ8" s="352" t="s">
        <v>298</v>
      </c>
      <c r="AK8" s="100">
        <f t="shared" si="1"/>
        <v>18</v>
      </c>
      <c r="AL8" s="101">
        <f t="shared" si="2"/>
        <v>0</v>
      </c>
      <c r="AM8" s="101">
        <f t="shared" si="3"/>
        <v>18</v>
      </c>
      <c r="AN8" s="101">
        <f t="shared" si="4"/>
        <v>34</v>
      </c>
      <c r="AP8" s="96" t="str">
        <f t="shared" si="5"/>
        <v> </v>
      </c>
    </row>
    <row r="9" spans="2:42" ht="15">
      <c r="B9" s="261" t="s">
        <v>47</v>
      </c>
      <c r="C9" s="262">
        <f t="shared" si="0"/>
        <v>31.88888888888889</v>
      </c>
      <c r="D9" s="263">
        <v>36</v>
      </c>
      <c r="E9" s="263">
        <v>28</v>
      </c>
      <c r="F9" s="263"/>
      <c r="G9" s="263">
        <v>34</v>
      </c>
      <c r="H9" s="263">
        <v>32</v>
      </c>
      <c r="I9" s="263">
        <v>36</v>
      </c>
      <c r="J9" s="263">
        <v>31</v>
      </c>
      <c r="K9" s="263">
        <v>26</v>
      </c>
      <c r="L9" s="377" t="s">
        <v>112</v>
      </c>
      <c r="M9" s="263">
        <v>29</v>
      </c>
      <c r="N9" s="263">
        <v>35</v>
      </c>
      <c r="O9" s="263"/>
      <c r="P9" s="263"/>
      <c r="Q9" s="263"/>
      <c r="R9" s="263"/>
      <c r="S9" s="263">
        <v>33</v>
      </c>
      <c r="T9" s="351" t="s">
        <v>304</v>
      </c>
      <c r="U9" s="263"/>
      <c r="V9" s="263"/>
      <c r="W9" s="263">
        <v>30</v>
      </c>
      <c r="X9" s="263">
        <v>32</v>
      </c>
      <c r="Y9" s="351" t="s">
        <v>319</v>
      </c>
      <c r="Z9" s="263"/>
      <c r="AA9" s="263"/>
      <c r="AB9" s="263">
        <v>36</v>
      </c>
      <c r="AC9" s="351" t="s">
        <v>297</v>
      </c>
      <c r="AD9" s="263">
        <v>27</v>
      </c>
      <c r="AE9" s="263"/>
      <c r="AF9" s="263">
        <v>29</v>
      </c>
      <c r="AG9" s="263">
        <v>35</v>
      </c>
      <c r="AH9" s="263">
        <v>35</v>
      </c>
      <c r="AI9" s="263">
        <v>30</v>
      </c>
      <c r="AJ9" s="267"/>
      <c r="AK9" s="100">
        <f t="shared" si="1"/>
        <v>18</v>
      </c>
      <c r="AL9" s="101">
        <f t="shared" si="2"/>
        <v>0</v>
      </c>
      <c r="AM9" s="101">
        <f t="shared" si="3"/>
        <v>18</v>
      </c>
      <c r="AN9" s="101">
        <f t="shared" si="4"/>
        <v>36</v>
      </c>
      <c r="AO9" s="78"/>
      <c r="AP9" s="96" t="str">
        <f t="shared" si="5"/>
        <v> </v>
      </c>
    </row>
    <row r="10" spans="1:42" ht="15">
      <c r="A10" s="78"/>
      <c r="B10" s="261" t="s">
        <v>17</v>
      </c>
      <c r="C10" s="262">
        <f t="shared" si="0"/>
        <v>32.833333333333336</v>
      </c>
      <c r="D10" s="263"/>
      <c r="E10" s="263"/>
      <c r="F10" s="263">
        <v>30</v>
      </c>
      <c r="G10" s="263">
        <v>30</v>
      </c>
      <c r="H10" s="263">
        <v>35</v>
      </c>
      <c r="I10" s="263"/>
      <c r="J10" s="263">
        <v>30</v>
      </c>
      <c r="K10" s="263"/>
      <c r="L10" s="377" t="s">
        <v>112</v>
      </c>
      <c r="M10" s="263">
        <v>28</v>
      </c>
      <c r="N10" s="263">
        <v>35</v>
      </c>
      <c r="O10" s="263">
        <v>33</v>
      </c>
      <c r="P10" s="263"/>
      <c r="Q10" s="263"/>
      <c r="R10" s="263"/>
      <c r="S10" s="263">
        <v>30</v>
      </c>
      <c r="T10" s="263">
        <v>34</v>
      </c>
      <c r="U10" s="263">
        <v>37</v>
      </c>
      <c r="V10" s="263"/>
      <c r="W10" s="263">
        <v>31</v>
      </c>
      <c r="X10" s="263">
        <v>32</v>
      </c>
      <c r="Y10" s="263"/>
      <c r="Z10" s="263">
        <v>33</v>
      </c>
      <c r="AA10" s="263">
        <v>29</v>
      </c>
      <c r="AB10" s="263">
        <v>33</v>
      </c>
      <c r="AC10" s="263"/>
      <c r="AD10" s="263">
        <v>36</v>
      </c>
      <c r="AE10" s="263"/>
      <c r="AF10" s="263"/>
      <c r="AG10" s="263"/>
      <c r="AH10" s="263"/>
      <c r="AI10" s="263"/>
      <c r="AJ10" s="267">
        <v>38</v>
      </c>
      <c r="AK10" s="100">
        <f t="shared" si="1"/>
        <v>17</v>
      </c>
      <c r="AL10" s="101">
        <f t="shared" si="2"/>
        <v>1</v>
      </c>
      <c r="AM10" s="101">
        <f t="shared" si="3"/>
        <v>18</v>
      </c>
      <c r="AN10" s="101">
        <f t="shared" si="4"/>
        <v>38</v>
      </c>
      <c r="AP10" s="96" t="str">
        <f t="shared" si="5"/>
        <v> </v>
      </c>
    </row>
    <row r="11" spans="2:42" ht="15">
      <c r="B11" s="261" t="s">
        <v>13</v>
      </c>
      <c r="C11" s="262">
        <f t="shared" si="0"/>
        <v>32.833333333333336</v>
      </c>
      <c r="D11" s="263">
        <v>36</v>
      </c>
      <c r="E11" s="263">
        <v>32</v>
      </c>
      <c r="F11" s="263">
        <v>30</v>
      </c>
      <c r="G11" s="351" t="s">
        <v>300</v>
      </c>
      <c r="H11" s="263"/>
      <c r="I11" s="263">
        <v>36</v>
      </c>
      <c r="J11" s="263">
        <v>35</v>
      </c>
      <c r="K11" s="263">
        <v>33</v>
      </c>
      <c r="L11" s="377" t="s">
        <v>112</v>
      </c>
      <c r="M11" s="263">
        <v>33</v>
      </c>
      <c r="N11" s="263">
        <v>31</v>
      </c>
      <c r="O11" s="263">
        <v>33</v>
      </c>
      <c r="P11" s="263"/>
      <c r="Q11" s="263"/>
      <c r="R11" s="336"/>
      <c r="S11" s="337">
        <v>31</v>
      </c>
      <c r="T11" s="263">
        <v>36</v>
      </c>
      <c r="U11" s="351" t="s">
        <v>302</v>
      </c>
      <c r="V11" s="263">
        <v>34</v>
      </c>
      <c r="W11" s="263">
        <v>36</v>
      </c>
      <c r="X11" s="263"/>
      <c r="Y11" s="351" t="s">
        <v>302</v>
      </c>
      <c r="Z11" s="263">
        <v>27</v>
      </c>
      <c r="AA11" s="351" t="s">
        <v>304</v>
      </c>
      <c r="AB11" s="263"/>
      <c r="AC11" s="263"/>
      <c r="AD11" s="263">
        <v>29</v>
      </c>
      <c r="AE11" s="263"/>
      <c r="AF11" s="263">
        <v>34</v>
      </c>
      <c r="AG11" s="263">
        <v>33</v>
      </c>
      <c r="AH11" s="351" t="s">
        <v>302</v>
      </c>
      <c r="AI11" s="351" t="s">
        <v>297</v>
      </c>
      <c r="AJ11" s="267">
        <v>32</v>
      </c>
      <c r="AK11" s="100">
        <f t="shared" si="1"/>
        <v>18</v>
      </c>
      <c r="AL11" s="101">
        <f t="shared" si="2"/>
        <v>0</v>
      </c>
      <c r="AM11" s="101">
        <f t="shared" si="3"/>
        <v>18</v>
      </c>
      <c r="AN11" s="101">
        <f t="shared" si="4"/>
        <v>36</v>
      </c>
      <c r="AP11" s="96" t="str">
        <f t="shared" si="5"/>
        <v> </v>
      </c>
    </row>
    <row r="12" spans="1:42" ht="15">
      <c r="A12" s="78"/>
      <c r="B12" s="261" t="s">
        <v>45</v>
      </c>
      <c r="C12" s="262">
        <f t="shared" si="0"/>
        <v>32.94444444444444</v>
      </c>
      <c r="D12" s="263">
        <v>33</v>
      </c>
      <c r="E12" s="351" t="s">
        <v>297</v>
      </c>
      <c r="F12" s="263">
        <v>35</v>
      </c>
      <c r="G12" s="351" t="s">
        <v>300</v>
      </c>
      <c r="H12" s="263">
        <v>32</v>
      </c>
      <c r="I12" s="351" t="s">
        <v>300</v>
      </c>
      <c r="J12" s="351" t="s">
        <v>304</v>
      </c>
      <c r="K12" s="263">
        <v>31</v>
      </c>
      <c r="L12" s="377" t="s">
        <v>112</v>
      </c>
      <c r="M12" s="263">
        <v>33</v>
      </c>
      <c r="N12" s="263">
        <v>34</v>
      </c>
      <c r="O12" s="263">
        <v>35</v>
      </c>
      <c r="P12" s="263">
        <v>34</v>
      </c>
      <c r="Q12" s="263">
        <v>34</v>
      </c>
      <c r="R12" s="263">
        <v>35</v>
      </c>
      <c r="S12" s="263">
        <v>31</v>
      </c>
      <c r="T12" s="351" t="s">
        <v>300</v>
      </c>
      <c r="U12" s="351" t="s">
        <v>297</v>
      </c>
      <c r="V12" s="263">
        <v>29</v>
      </c>
      <c r="W12" s="263">
        <v>31</v>
      </c>
      <c r="X12" s="263">
        <v>35</v>
      </c>
      <c r="Y12" s="351" t="s">
        <v>306</v>
      </c>
      <c r="Z12" s="263">
        <v>35</v>
      </c>
      <c r="AA12" s="351" t="s">
        <v>304</v>
      </c>
      <c r="AB12" s="263">
        <v>32</v>
      </c>
      <c r="AC12" s="263">
        <v>33</v>
      </c>
      <c r="AD12" s="351" t="s">
        <v>304</v>
      </c>
      <c r="AE12" s="351" t="s">
        <v>302</v>
      </c>
      <c r="AF12" s="351" t="s">
        <v>306</v>
      </c>
      <c r="AG12" s="263">
        <v>31</v>
      </c>
      <c r="AH12" s="351" t="s">
        <v>306</v>
      </c>
      <c r="AI12" s="351" t="s">
        <v>300</v>
      </c>
      <c r="AJ12" s="352" t="s">
        <v>304</v>
      </c>
      <c r="AK12" s="100">
        <f t="shared" si="1"/>
        <v>18</v>
      </c>
      <c r="AL12" s="101">
        <f t="shared" si="2"/>
        <v>0</v>
      </c>
      <c r="AM12" s="101">
        <f t="shared" si="3"/>
        <v>18</v>
      </c>
      <c r="AN12" s="101">
        <f t="shared" si="4"/>
        <v>35</v>
      </c>
      <c r="AP12" s="96" t="str">
        <f t="shared" si="5"/>
        <v> </v>
      </c>
    </row>
    <row r="13" spans="1:42" ht="15">
      <c r="A13" s="78"/>
      <c r="B13" s="261" t="s">
        <v>57</v>
      </c>
      <c r="C13" s="262">
        <f t="shared" si="0"/>
        <v>33.166666666666664</v>
      </c>
      <c r="D13" s="263">
        <v>33</v>
      </c>
      <c r="E13" s="263">
        <v>30</v>
      </c>
      <c r="F13" s="263"/>
      <c r="G13" s="263">
        <v>35</v>
      </c>
      <c r="H13" s="263">
        <v>29</v>
      </c>
      <c r="I13" s="263"/>
      <c r="J13" s="263">
        <v>36</v>
      </c>
      <c r="K13" s="263"/>
      <c r="L13" s="377" t="s">
        <v>112</v>
      </c>
      <c r="M13" s="263">
        <v>32</v>
      </c>
      <c r="N13" s="263">
        <v>31</v>
      </c>
      <c r="O13" s="263"/>
      <c r="P13" s="263"/>
      <c r="Q13" s="263"/>
      <c r="R13" s="263"/>
      <c r="S13" s="263">
        <v>29</v>
      </c>
      <c r="T13" s="263">
        <v>35</v>
      </c>
      <c r="U13" s="263">
        <v>33</v>
      </c>
      <c r="V13" s="263"/>
      <c r="W13" s="263">
        <v>31</v>
      </c>
      <c r="X13" s="263">
        <v>35</v>
      </c>
      <c r="Y13" s="263"/>
      <c r="Z13" s="263"/>
      <c r="AA13" s="263">
        <v>29</v>
      </c>
      <c r="AB13" s="263"/>
      <c r="AC13" s="263">
        <v>35</v>
      </c>
      <c r="AD13" s="263"/>
      <c r="AE13" s="263"/>
      <c r="AF13" s="263"/>
      <c r="AG13" s="263"/>
      <c r="AH13" s="263">
        <v>33</v>
      </c>
      <c r="AI13" s="263"/>
      <c r="AJ13" s="267"/>
      <c r="AK13" s="100">
        <f t="shared" si="1"/>
        <v>15</v>
      </c>
      <c r="AL13" s="101">
        <f t="shared" si="2"/>
        <v>3</v>
      </c>
      <c r="AM13" s="101">
        <f t="shared" si="3"/>
        <v>18</v>
      </c>
      <c r="AN13" s="101">
        <f t="shared" si="4"/>
        <v>36</v>
      </c>
      <c r="AP13" s="96" t="str">
        <f t="shared" si="5"/>
        <v> </v>
      </c>
    </row>
    <row r="14" spans="1:43" s="78" customFormat="1" ht="15">
      <c r="A14" s="67"/>
      <c r="B14" s="261" t="s">
        <v>39</v>
      </c>
      <c r="C14" s="262">
        <f t="shared" si="0"/>
        <v>33.72222222222222</v>
      </c>
      <c r="D14" s="263">
        <v>32</v>
      </c>
      <c r="E14" s="263">
        <v>33</v>
      </c>
      <c r="F14" s="263">
        <v>30</v>
      </c>
      <c r="G14" s="263">
        <v>35</v>
      </c>
      <c r="H14" s="263">
        <v>38</v>
      </c>
      <c r="I14" s="263"/>
      <c r="J14" s="263"/>
      <c r="K14" s="263">
        <v>30</v>
      </c>
      <c r="L14" s="377" t="s">
        <v>112</v>
      </c>
      <c r="M14" s="263">
        <v>33</v>
      </c>
      <c r="N14" s="263"/>
      <c r="O14" s="351" t="s">
        <v>310</v>
      </c>
      <c r="P14" s="263"/>
      <c r="Q14" s="263">
        <v>33</v>
      </c>
      <c r="R14" s="263">
        <v>37</v>
      </c>
      <c r="S14" s="263">
        <v>28</v>
      </c>
      <c r="T14" s="263"/>
      <c r="U14" s="263"/>
      <c r="V14" s="263">
        <v>35</v>
      </c>
      <c r="W14" s="263">
        <v>31</v>
      </c>
      <c r="X14" s="263">
        <v>32</v>
      </c>
      <c r="Y14" s="263">
        <v>37</v>
      </c>
      <c r="Z14" s="263"/>
      <c r="AA14" s="263">
        <v>37</v>
      </c>
      <c r="AB14" s="263"/>
      <c r="AC14" s="263"/>
      <c r="AD14" s="263">
        <v>32</v>
      </c>
      <c r="AE14" s="263">
        <v>40</v>
      </c>
      <c r="AF14" s="263">
        <v>34</v>
      </c>
      <c r="AG14" s="351" t="s">
        <v>319</v>
      </c>
      <c r="AH14" s="263"/>
      <c r="AI14" s="351" t="s">
        <v>343</v>
      </c>
      <c r="AJ14" s="352" t="s">
        <v>298</v>
      </c>
      <c r="AK14" s="100">
        <f t="shared" si="1"/>
        <v>18</v>
      </c>
      <c r="AL14" s="101">
        <f t="shared" si="2"/>
        <v>0</v>
      </c>
      <c r="AM14" s="101">
        <f t="shared" si="3"/>
        <v>18</v>
      </c>
      <c r="AN14" s="101">
        <f t="shared" si="4"/>
        <v>40</v>
      </c>
      <c r="AO14" s="77"/>
      <c r="AP14" s="96" t="str">
        <f t="shared" si="5"/>
        <v> </v>
      </c>
      <c r="AQ14" s="67"/>
    </row>
    <row r="15" spans="2:42" ht="15">
      <c r="B15" s="261" t="s">
        <v>15</v>
      </c>
      <c r="C15" s="262">
        <f t="shared" si="0"/>
        <v>34.27777777777778</v>
      </c>
      <c r="D15" s="263">
        <v>39</v>
      </c>
      <c r="E15" s="263"/>
      <c r="F15" s="263">
        <v>28</v>
      </c>
      <c r="G15" s="263">
        <v>32</v>
      </c>
      <c r="H15" s="263"/>
      <c r="I15" s="263"/>
      <c r="J15" s="263"/>
      <c r="K15" s="263">
        <v>34</v>
      </c>
      <c r="L15" s="377" t="s">
        <v>112</v>
      </c>
      <c r="M15" s="263">
        <v>32</v>
      </c>
      <c r="N15" s="263">
        <v>36</v>
      </c>
      <c r="O15" s="263"/>
      <c r="P15" s="263"/>
      <c r="Q15" s="263"/>
      <c r="R15" s="263"/>
      <c r="S15" s="263">
        <v>30</v>
      </c>
      <c r="T15" s="263"/>
      <c r="U15" s="263">
        <v>34</v>
      </c>
      <c r="V15" s="263">
        <v>35</v>
      </c>
      <c r="W15" s="263">
        <v>25</v>
      </c>
      <c r="X15" s="263"/>
      <c r="Y15" s="263"/>
      <c r="Z15" s="263">
        <v>34</v>
      </c>
      <c r="AA15" s="263">
        <v>35</v>
      </c>
      <c r="AB15" s="263">
        <v>36</v>
      </c>
      <c r="AC15" s="263">
        <v>35</v>
      </c>
      <c r="AD15" s="263"/>
      <c r="AE15" s="263"/>
      <c r="AF15" s="263"/>
      <c r="AG15" s="263"/>
      <c r="AH15" s="263">
        <v>36</v>
      </c>
      <c r="AI15" s="263">
        <v>41</v>
      </c>
      <c r="AJ15" s="267">
        <v>38</v>
      </c>
      <c r="AK15" s="100">
        <f t="shared" si="1"/>
        <v>17</v>
      </c>
      <c r="AL15" s="101">
        <f t="shared" si="2"/>
        <v>1</v>
      </c>
      <c r="AM15" s="101">
        <f t="shared" si="3"/>
        <v>18</v>
      </c>
      <c r="AN15" s="101">
        <f t="shared" si="4"/>
        <v>41</v>
      </c>
      <c r="AP15" s="96" t="str">
        <f t="shared" si="5"/>
        <v> </v>
      </c>
    </row>
    <row r="16" spans="2:42" ht="15">
      <c r="B16" s="261" t="s">
        <v>53</v>
      </c>
      <c r="C16" s="262">
        <f t="shared" si="0"/>
        <v>34.333333333333336</v>
      </c>
      <c r="D16" s="263"/>
      <c r="E16" s="263">
        <v>30</v>
      </c>
      <c r="F16" s="263"/>
      <c r="G16" s="263"/>
      <c r="H16" s="263">
        <v>36</v>
      </c>
      <c r="I16" s="263"/>
      <c r="J16" s="263">
        <v>33</v>
      </c>
      <c r="K16" s="263">
        <v>37</v>
      </c>
      <c r="L16" s="377" t="s">
        <v>112</v>
      </c>
      <c r="M16" s="263"/>
      <c r="N16" s="263">
        <v>27</v>
      </c>
      <c r="O16" s="263">
        <v>34</v>
      </c>
      <c r="P16" s="263"/>
      <c r="Q16" s="263"/>
      <c r="R16" s="263"/>
      <c r="S16" s="263"/>
      <c r="T16" s="263">
        <v>36</v>
      </c>
      <c r="U16" s="263">
        <v>33</v>
      </c>
      <c r="V16" s="263">
        <v>33</v>
      </c>
      <c r="W16" s="263"/>
      <c r="X16" s="263">
        <v>35</v>
      </c>
      <c r="Y16" s="263"/>
      <c r="Z16" s="263">
        <v>33</v>
      </c>
      <c r="AA16" s="263"/>
      <c r="AB16" s="263"/>
      <c r="AC16" s="263"/>
      <c r="AD16" s="263"/>
      <c r="AE16" s="263"/>
      <c r="AF16" s="263">
        <v>30</v>
      </c>
      <c r="AG16" s="263"/>
      <c r="AH16" s="263"/>
      <c r="AI16" s="263">
        <v>35</v>
      </c>
      <c r="AJ16" s="267">
        <v>38</v>
      </c>
      <c r="AK16" s="100">
        <f t="shared" si="1"/>
        <v>14</v>
      </c>
      <c r="AL16" s="101">
        <f t="shared" si="2"/>
        <v>4</v>
      </c>
      <c r="AM16" s="101">
        <f t="shared" si="3"/>
        <v>18</v>
      </c>
      <c r="AN16" s="101">
        <f t="shared" si="4"/>
        <v>38</v>
      </c>
      <c r="AP16" s="96" t="str">
        <f t="shared" si="5"/>
        <v> </v>
      </c>
    </row>
    <row r="17" spans="2:42" ht="15">
      <c r="B17" s="261" t="s">
        <v>19</v>
      </c>
      <c r="C17" s="262">
        <f t="shared" si="0"/>
        <v>34.5</v>
      </c>
      <c r="D17" s="263">
        <v>35</v>
      </c>
      <c r="E17" s="263"/>
      <c r="F17" s="263">
        <v>37</v>
      </c>
      <c r="G17" s="263">
        <v>34</v>
      </c>
      <c r="H17" s="263">
        <v>39</v>
      </c>
      <c r="I17" s="263">
        <v>35</v>
      </c>
      <c r="J17" s="263">
        <v>33</v>
      </c>
      <c r="K17" s="263">
        <v>33</v>
      </c>
      <c r="L17" s="377" t="s">
        <v>112</v>
      </c>
      <c r="M17" s="263">
        <v>36</v>
      </c>
      <c r="N17" s="263">
        <v>29</v>
      </c>
      <c r="O17" s="263">
        <v>37</v>
      </c>
      <c r="P17" s="263"/>
      <c r="Q17" s="263"/>
      <c r="R17" s="263"/>
      <c r="S17" s="263"/>
      <c r="T17" s="263">
        <v>36</v>
      </c>
      <c r="U17" s="263">
        <v>39</v>
      </c>
      <c r="V17" s="351" t="s">
        <v>310</v>
      </c>
      <c r="W17" s="263">
        <v>36</v>
      </c>
      <c r="X17" s="263"/>
      <c r="Y17" s="263">
        <v>33</v>
      </c>
      <c r="Z17" s="263"/>
      <c r="AA17" s="351" t="s">
        <v>339</v>
      </c>
      <c r="AB17" s="263"/>
      <c r="AC17" s="263">
        <v>30</v>
      </c>
      <c r="AD17" s="263">
        <v>35</v>
      </c>
      <c r="AE17" s="263">
        <v>32</v>
      </c>
      <c r="AF17" s="263"/>
      <c r="AG17" s="351" t="s">
        <v>319</v>
      </c>
      <c r="AH17" s="263">
        <v>32</v>
      </c>
      <c r="AI17" s="351" t="s">
        <v>297</v>
      </c>
      <c r="AJ17" s="267"/>
      <c r="AK17" s="100">
        <f t="shared" si="1"/>
        <v>18</v>
      </c>
      <c r="AL17" s="101">
        <f t="shared" si="2"/>
        <v>0</v>
      </c>
      <c r="AM17" s="101">
        <f t="shared" si="3"/>
        <v>18</v>
      </c>
      <c r="AN17" s="101">
        <f t="shared" si="4"/>
        <v>39</v>
      </c>
      <c r="AP17" s="96" t="str">
        <f t="shared" si="5"/>
        <v> </v>
      </c>
    </row>
    <row r="18" spans="2:42" ht="15">
      <c r="B18" s="261" t="s">
        <v>35</v>
      </c>
      <c r="C18" s="262">
        <f t="shared" si="0"/>
        <v>35.388888888888886</v>
      </c>
      <c r="D18" s="263">
        <v>33</v>
      </c>
      <c r="E18" s="263"/>
      <c r="F18" s="263"/>
      <c r="G18" s="263">
        <v>39</v>
      </c>
      <c r="H18" s="263"/>
      <c r="I18" s="263"/>
      <c r="J18" s="263">
        <v>33</v>
      </c>
      <c r="K18" s="263"/>
      <c r="L18" s="377" t="s">
        <v>112</v>
      </c>
      <c r="M18" s="263"/>
      <c r="N18" s="263"/>
      <c r="O18" s="263"/>
      <c r="P18" s="263"/>
      <c r="Q18" s="263"/>
      <c r="R18" s="336"/>
      <c r="S18" s="263"/>
      <c r="T18" s="263"/>
      <c r="U18" s="263"/>
      <c r="V18" s="263"/>
      <c r="W18" s="263"/>
      <c r="X18" s="263">
        <v>33</v>
      </c>
      <c r="Y18" s="263">
        <v>35</v>
      </c>
      <c r="Z18" s="263">
        <v>33</v>
      </c>
      <c r="AA18" s="263">
        <v>30</v>
      </c>
      <c r="AB18" s="263">
        <v>31</v>
      </c>
      <c r="AC18" s="263">
        <v>34</v>
      </c>
      <c r="AD18" s="263"/>
      <c r="AE18" s="263"/>
      <c r="AF18" s="263"/>
      <c r="AG18" s="263"/>
      <c r="AH18" s="263"/>
      <c r="AI18" s="263"/>
      <c r="AJ18" s="267">
        <v>40</v>
      </c>
      <c r="AK18" s="100">
        <f t="shared" si="1"/>
        <v>10</v>
      </c>
      <c r="AL18" s="101">
        <f t="shared" si="2"/>
        <v>8</v>
      </c>
      <c r="AM18" s="101">
        <f t="shared" si="3"/>
        <v>18</v>
      </c>
      <c r="AN18" s="101">
        <f t="shared" si="4"/>
        <v>40</v>
      </c>
      <c r="AP18" s="96" t="str">
        <f t="shared" si="5"/>
        <v> </v>
      </c>
    </row>
    <row r="19" spans="2:42" ht="15">
      <c r="B19" s="261" t="s">
        <v>25</v>
      </c>
      <c r="C19" s="262">
        <f t="shared" si="0"/>
        <v>35.55555555555556</v>
      </c>
      <c r="D19" s="263">
        <v>34</v>
      </c>
      <c r="E19" s="263">
        <v>35</v>
      </c>
      <c r="F19" s="263">
        <v>35</v>
      </c>
      <c r="G19" s="263">
        <v>37</v>
      </c>
      <c r="H19" s="263"/>
      <c r="I19" s="263">
        <v>41</v>
      </c>
      <c r="J19" s="263">
        <v>38</v>
      </c>
      <c r="K19" s="263">
        <v>37</v>
      </c>
      <c r="L19" s="377" t="s">
        <v>112</v>
      </c>
      <c r="M19" s="263"/>
      <c r="N19" s="263">
        <v>32</v>
      </c>
      <c r="O19" s="263">
        <v>40</v>
      </c>
      <c r="P19" s="263"/>
      <c r="Q19" s="263"/>
      <c r="R19" s="263"/>
      <c r="S19" s="263"/>
      <c r="T19" s="263">
        <v>34</v>
      </c>
      <c r="U19" s="263">
        <v>36</v>
      </c>
      <c r="V19" s="263"/>
      <c r="W19" s="263">
        <v>33</v>
      </c>
      <c r="X19" s="263">
        <v>36</v>
      </c>
      <c r="Y19" s="263">
        <v>34</v>
      </c>
      <c r="Z19" s="263"/>
      <c r="AA19" s="263"/>
      <c r="AB19" s="263"/>
      <c r="AC19" s="263">
        <v>33</v>
      </c>
      <c r="AD19" s="263">
        <v>34</v>
      </c>
      <c r="AE19" s="263"/>
      <c r="AF19" s="263"/>
      <c r="AG19" s="263">
        <v>34</v>
      </c>
      <c r="AH19" s="263"/>
      <c r="AI19" s="263"/>
      <c r="AJ19" s="267"/>
      <c r="AK19" s="100">
        <f t="shared" si="1"/>
        <v>17</v>
      </c>
      <c r="AL19" s="101">
        <f t="shared" si="2"/>
        <v>1</v>
      </c>
      <c r="AM19" s="101">
        <f t="shared" si="3"/>
        <v>18</v>
      </c>
      <c r="AN19" s="101">
        <f t="shared" si="4"/>
        <v>41</v>
      </c>
      <c r="AP19" s="96" t="str">
        <f t="shared" si="5"/>
        <v> </v>
      </c>
    </row>
    <row r="20" spans="2:42" ht="15">
      <c r="B20" s="261" t="s">
        <v>27</v>
      </c>
      <c r="C20" s="262">
        <f t="shared" si="0"/>
        <v>35.77777777777778</v>
      </c>
      <c r="D20" s="263"/>
      <c r="E20" s="263"/>
      <c r="F20" s="263">
        <v>42</v>
      </c>
      <c r="G20" s="263">
        <v>33</v>
      </c>
      <c r="H20" s="263"/>
      <c r="I20" s="263"/>
      <c r="J20" s="263"/>
      <c r="K20" s="263"/>
      <c r="L20" s="377" t="s">
        <v>112</v>
      </c>
      <c r="M20" s="263"/>
      <c r="N20" s="263"/>
      <c r="O20" s="263">
        <v>30</v>
      </c>
      <c r="P20" s="263">
        <v>33</v>
      </c>
      <c r="Q20" s="263">
        <v>29</v>
      </c>
      <c r="R20" s="263">
        <v>35</v>
      </c>
      <c r="S20" s="263"/>
      <c r="T20" s="263">
        <v>37</v>
      </c>
      <c r="U20" s="263"/>
      <c r="V20" s="263"/>
      <c r="W20" s="263"/>
      <c r="X20" s="263"/>
      <c r="Y20" s="263"/>
      <c r="Z20" s="263"/>
      <c r="AA20" s="263"/>
      <c r="AB20" s="263"/>
      <c r="AC20" s="263">
        <v>35</v>
      </c>
      <c r="AD20" s="263">
        <v>33</v>
      </c>
      <c r="AE20" s="263"/>
      <c r="AF20" s="263"/>
      <c r="AG20" s="263">
        <v>39</v>
      </c>
      <c r="AH20" s="263"/>
      <c r="AI20" s="263">
        <v>39</v>
      </c>
      <c r="AJ20" s="267"/>
      <c r="AK20" s="100">
        <f t="shared" si="1"/>
        <v>11</v>
      </c>
      <c r="AL20" s="101">
        <f t="shared" si="2"/>
        <v>7</v>
      </c>
      <c r="AM20" s="101">
        <f t="shared" si="3"/>
        <v>18</v>
      </c>
      <c r="AN20" s="101">
        <f t="shared" si="4"/>
        <v>42</v>
      </c>
      <c r="AP20" s="96" t="str">
        <f t="shared" si="5"/>
        <v> </v>
      </c>
    </row>
    <row r="21" spans="2:42" ht="15">
      <c r="B21" s="261" t="s">
        <v>49</v>
      </c>
      <c r="C21" s="262">
        <f t="shared" si="0"/>
        <v>36.05555555555556</v>
      </c>
      <c r="D21" s="263">
        <v>39</v>
      </c>
      <c r="E21" s="263">
        <v>33</v>
      </c>
      <c r="F21" s="263">
        <v>42</v>
      </c>
      <c r="G21" s="263">
        <v>38</v>
      </c>
      <c r="H21" s="263">
        <v>41</v>
      </c>
      <c r="I21" s="351" t="s">
        <v>339</v>
      </c>
      <c r="J21" s="263">
        <v>31</v>
      </c>
      <c r="K21" s="351" t="s">
        <v>339</v>
      </c>
      <c r="L21" s="377" t="s">
        <v>112</v>
      </c>
      <c r="M21" s="263">
        <v>42</v>
      </c>
      <c r="N21" s="263">
        <v>29</v>
      </c>
      <c r="O21" s="263">
        <v>40</v>
      </c>
      <c r="P21" s="263"/>
      <c r="Q21" s="263"/>
      <c r="R21" s="263"/>
      <c r="S21" s="263"/>
      <c r="T21" s="263">
        <v>35</v>
      </c>
      <c r="U21" s="263">
        <v>39</v>
      </c>
      <c r="V21" s="351" t="s">
        <v>339</v>
      </c>
      <c r="W21" s="263">
        <v>32</v>
      </c>
      <c r="X21" s="263">
        <v>32</v>
      </c>
      <c r="Y21" s="263"/>
      <c r="Z21" s="263"/>
      <c r="AA21" s="263">
        <v>36</v>
      </c>
      <c r="AB21" s="263"/>
      <c r="AC21" s="263"/>
      <c r="AD21" s="263">
        <v>33</v>
      </c>
      <c r="AE21" s="263">
        <v>32</v>
      </c>
      <c r="AF21" s="263">
        <v>39</v>
      </c>
      <c r="AG21" s="263">
        <v>36</v>
      </c>
      <c r="AH21" s="263"/>
      <c r="AI21" s="263"/>
      <c r="AJ21" s="267"/>
      <c r="AK21" s="100">
        <f t="shared" si="1"/>
        <v>18</v>
      </c>
      <c r="AL21" s="101">
        <f t="shared" si="2"/>
        <v>0</v>
      </c>
      <c r="AM21" s="101">
        <f t="shared" si="3"/>
        <v>18</v>
      </c>
      <c r="AN21" s="101">
        <f t="shared" si="4"/>
        <v>42</v>
      </c>
      <c r="AP21" s="96" t="str">
        <f t="shared" si="5"/>
        <v> </v>
      </c>
    </row>
    <row r="22" spans="2:42" ht="15">
      <c r="B22" s="261" t="s">
        <v>29</v>
      </c>
      <c r="C22" s="262">
        <f t="shared" si="0"/>
        <v>36.833333333333336</v>
      </c>
      <c r="D22" s="263">
        <v>39</v>
      </c>
      <c r="E22" s="263"/>
      <c r="F22" s="263"/>
      <c r="G22" s="263">
        <v>37</v>
      </c>
      <c r="H22" s="263"/>
      <c r="I22" s="263"/>
      <c r="J22" s="263">
        <v>34</v>
      </c>
      <c r="K22" s="263">
        <v>39</v>
      </c>
      <c r="L22" s="377" t="s">
        <v>112</v>
      </c>
      <c r="M22" s="263"/>
      <c r="N22" s="263">
        <v>35</v>
      </c>
      <c r="O22" s="263">
        <v>36</v>
      </c>
      <c r="P22" s="263"/>
      <c r="Q22" s="263"/>
      <c r="R22" s="263">
        <v>40</v>
      </c>
      <c r="S22" s="263">
        <v>33</v>
      </c>
      <c r="T22" s="263"/>
      <c r="U22" s="263"/>
      <c r="V22" s="263">
        <v>40</v>
      </c>
      <c r="W22" s="263">
        <v>31</v>
      </c>
      <c r="X22" s="263">
        <v>42</v>
      </c>
      <c r="Y22" s="263">
        <v>33</v>
      </c>
      <c r="Z22" s="263">
        <v>42</v>
      </c>
      <c r="AA22" s="263"/>
      <c r="AB22" s="263">
        <v>30</v>
      </c>
      <c r="AC22" s="263">
        <v>35</v>
      </c>
      <c r="AD22" s="263"/>
      <c r="AE22" s="263">
        <v>42</v>
      </c>
      <c r="AF22" s="263"/>
      <c r="AG22" s="263">
        <v>38</v>
      </c>
      <c r="AH22" s="263"/>
      <c r="AI22" s="263"/>
      <c r="AJ22" s="267"/>
      <c r="AK22" s="100">
        <f t="shared" si="1"/>
        <v>17</v>
      </c>
      <c r="AL22" s="101">
        <f t="shared" si="2"/>
        <v>1</v>
      </c>
      <c r="AM22" s="101">
        <f t="shared" si="3"/>
        <v>18</v>
      </c>
      <c r="AN22" s="101">
        <f t="shared" si="4"/>
        <v>42</v>
      </c>
      <c r="AP22" s="96" t="str">
        <f t="shared" si="5"/>
        <v> </v>
      </c>
    </row>
    <row r="23" spans="2:42" ht="15">
      <c r="B23" s="261" t="s">
        <v>207</v>
      </c>
      <c r="C23" s="262">
        <f t="shared" si="0"/>
        <v>37.05555555555556</v>
      </c>
      <c r="D23" s="263">
        <v>39</v>
      </c>
      <c r="E23" s="263"/>
      <c r="F23" s="263"/>
      <c r="G23" s="263"/>
      <c r="H23" s="263"/>
      <c r="I23" s="263"/>
      <c r="J23" s="263"/>
      <c r="K23" s="263"/>
      <c r="L23" s="377" t="s">
        <v>112</v>
      </c>
      <c r="M23" s="263"/>
      <c r="N23" s="263"/>
      <c r="O23" s="263"/>
      <c r="P23" s="263"/>
      <c r="Q23" s="263"/>
      <c r="R23" s="263">
        <v>38</v>
      </c>
      <c r="S23" s="263"/>
      <c r="T23" s="263"/>
      <c r="U23" s="263">
        <v>35</v>
      </c>
      <c r="V23" s="263"/>
      <c r="W23" s="263"/>
      <c r="X23" s="263"/>
      <c r="Y23" s="263">
        <v>38</v>
      </c>
      <c r="Z23" s="263">
        <v>34</v>
      </c>
      <c r="AA23" s="263"/>
      <c r="AB23" s="263"/>
      <c r="AC23" s="263">
        <v>40</v>
      </c>
      <c r="AD23" s="263"/>
      <c r="AE23" s="263">
        <v>39</v>
      </c>
      <c r="AF23" s="263">
        <v>33</v>
      </c>
      <c r="AG23" s="263">
        <v>39</v>
      </c>
      <c r="AH23" s="263">
        <v>36</v>
      </c>
      <c r="AI23" s="263"/>
      <c r="AJ23" s="267"/>
      <c r="AK23" s="100">
        <f t="shared" si="1"/>
        <v>10</v>
      </c>
      <c r="AL23" s="101">
        <f t="shared" si="2"/>
        <v>8</v>
      </c>
      <c r="AM23" s="101">
        <f t="shared" si="3"/>
        <v>18</v>
      </c>
      <c r="AN23" s="101">
        <f t="shared" si="4"/>
        <v>40</v>
      </c>
      <c r="AP23" s="96" t="str">
        <f t="shared" si="5"/>
        <v> </v>
      </c>
    </row>
    <row r="24" spans="2:42" ht="15">
      <c r="B24" s="261" t="s">
        <v>43</v>
      </c>
      <c r="C24" s="262">
        <f t="shared" si="0"/>
        <v>37.166666666666664</v>
      </c>
      <c r="D24" s="263">
        <v>41</v>
      </c>
      <c r="E24" s="263"/>
      <c r="F24" s="263"/>
      <c r="G24" s="263"/>
      <c r="H24" s="263"/>
      <c r="I24" s="263"/>
      <c r="J24" s="263">
        <v>35</v>
      </c>
      <c r="K24" s="263">
        <v>37</v>
      </c>
      <c r="L24" s="377" t="s">
        <v>112</v>
      </c>
      <c r="M24" s="263">
        <v>33</v>
      </c>
      <c r="N24" s="263">
        <v>40</v>
      </c>
      <c r="O24" s="263">
        <v>38</v>
      </c>
      <c r="P24" s="263"/>
      <c r="Q24" s="263"/>
      <c r="R24" s="263"/>
      <c r="S24" s="263"/>
      <c r="T24" s="263"/>
      <c r="U24" s="263"/>
      <c r="V24" s="263">
        <v>34</v>
      </c>
      <c r="W24" s="263">
        <v>37</v>
      </c>
      <c r="X24" s="263">
        <v>36</v>
      </c>
      <c r="Y24" s="263">
        <v>37</v>
      </c>
      <c r="Z24" s="263">
        <v>41</v>
      </c>
      <c r="AA24" s="263">
        <v>42</v>
      </c>
      <c r="AB24" s="263">
        <v>32</v>
      </c>
      <c r="AC24" s="263">
        <v>36</v>
      </c>
      <c r="AD24" s="263"/>
      <c r="AE24" s="263"/>
      <c r="AF24" s="263"/>
      <c r="AG24" s="263"/>
      <c r="AH24" s="263"/>
      <c r="AI24" s="263">
        <v>38</v>
      </c>
      <c r="AJ24" s="267">
        <v>38</v>
      </c>
      <c r="AK24" s="100">
        <f t="shared" si="1"/>
        <v>16</v>
      </c>
      <c r="AL24" s="101">
        <f t="shared" si="2"/>
        <v>2</v>
      </c>
      <c r="AM24" s="101">
        <f t="shared" si="3"/>
        <v>18</v>
      </c>
      <c r="AN24" s="101">
        <f t="shared" si="4"/>
        <v>42</v>
      </c>
      <c r="AP24" s="96" t="str">
        <f t="shared" si="5"/>
        <v> </v>
      </c>
    </row>
    <row r="25" spans="2:42" ht="15">
      <c r="B25" s="261" t="s">
        <v>11</v>
      </c>
      <c r="C25" s="262">
        <f t="shared" si="0"/>
        <v>37.333333333333336</v>
      </c>
      <c r="D25" s="263"/>
      <c r="E25" s="263"/>
      <c r="F25" s="263"/>
      <c r="G25" s="263"/>
      <c r="H25" s="263"/>
      <c r="I25" s="263">
        <v>36</v>
      </c>
      <c r="J25" s="263"/>
      <c r="K25" s="263">
        <v>38</v>
      </c>
      <c r="L25" s="377" t="s">
        <v>112</v>
      </c>
      <c r="M25" s="263">
        <v>41</v>
      </c>
      <c r="N25" s="263"/>
      <c r="O25" s="263">
        <v>37</v>
      </c>
      <c r="P25" s="263"/>
      <c r="Q25" s="263">
        <v>33</v>
      </c>
      <c r="R25" s="263"/>
      <c r="S25" s="263"/>
      <c r="T25" s="263"/>
      <c r="U25" s="263">
        <v>40</v>
      </c>
      <c r="V25" s="263">
        <v>41</v>
      </c>
      <c r="W25" s="263"/>
      <c r="X25" s="263"/>
      <c r="Y25" s="263">
        <v>39</v>
      </c>
      <c r="Z25" s="263"/>
      <c r="AA25" s="263"/>
      <c r="AB25" s="263">
        <v>35</v>
      </c>
      <c r="AC25" s="263"/>
      <c r="AD25" s="263">
        <v>39</v>
      </c>
      <c r="AE25" s="263">
        <v>36</v>
      </c>
      <c r="AF25" s="263">
        <v>34</v>
      </c>
      <c r="AG25" s="263"/>
      <c r="AH25" s="263"/>
      <c r="AI25" s="263"/>
      <c r="AJ25" s="267">
        <v>38</v>
      </c>
      <c r="AK25" s="100">
        <f t="shared" si="1"/>
        <v>13</v>
      </c>
      <c r="AL25" s="101">
        <f t="shared" si="2"/>
        <v>5</v>
      </c>
      <c r="AM25" s="101">
        <f t="shared" si="3"/>
        <v>18</v>
      </c>
      <c r="AN25" s="101">
        <f t="shared" si="4"/>
        <v>41</v>
      </c>
      <c r="AP25" s="96" t="str">
        <f t="shared" si="5"/>
        <v> </v>
      </c>
    </row>
    <row r="26" spans="2:42" ht="15">
      <c r="B26" s="264" t="s">
        <v>55</v>
      </c>
      <c r="C26" s="265">
        <f t="shared" si="0"/>
        <v>37.55555555555556</v>
      </c>
      <c r="D26" s="266">
        <v>34</v>
      </c>
      <c r="E26" s="266"/>
      <c r="F26" s="266"/>
      <c r="G26" s="266"/>
      <c r="H26" s="266">
        <v>35</v>
      </c>
      <c r="I26" s="266"/>
      <c r="J26" s="382" t="s">
        <v>340</v>
      </c>
      <c r="K26" s="266">
        <v>37</v>
      </c>
      <c r="L26" s="377" t="s">
        <v>112</v>
      </c>
      <c r="M26" s="266">
        <v>36</v>
      </c>
      <c r="N26" s="266">
        <v>35</v>
      </c>
      <c r="O26" s="266"/>
      <c r="P26" s="266">
        <v>42</v>
      </c>
      <c r="Q26" s="266">
        <v>38</v>
      </c>
      <c r="R26" s="266">
        <v>40</v>
      </c>
      <c r="S26" s="266">
        <v>32</v>
      </c>
      <c r="T26" s="266">
        <v>41</v>
      </c>
      <c r="U26" s="266">
        <v>43</v>
      </c>
      <c r="V26" s="266">
        <v>39</v>
      </c>
      <c r="W26" s="266">
        <v>27</v>
      </c>
      <c r="X26" s="263">
        <v>44</v>
      </c>
      <c r="Y26" s="266">
        <v>39</v>
      </c>
      <c r="Z26" s="266">
        <v>37</v>
      </c>
      <c r="AA26" s="266"/>
      <c r="AB26" s="266"/>
      <c r="AC26" s="266"/>
      <c r="AD26" s="266"/>
      <c r="AE26" s="266">
        <v>40</v>
      </c>
      <c r="AF26" s="266">
        <v>37</v>
      </c>
      <c r="AG26" s="382" t="s">
        <v>352</v>
      </c>
      <c r="AH26" s="266"/>
      <c r="AI26" s="266"/>
      <c r="AJ26" s="268"/>
      <c r="AK26" s="100">
        <f t="shared" si="1"/>
        <v>18</v>
      </c>
      <c r="AL26" s="101">
        <f t="shared" si="2"/>
        <v>0</v>
      </c>
      <c r="AM26" s="101">
        <f t="shared" si="3"/>
        <v>18</v>
      </c>
      <c r="AN26" s="101">
        <f t="shared" si="4"/>
        <v>44</v>
      </c>
      <c r="AP26" s="96" t="str">
        <f t="shared" si="5"/>
        <v> </v>
      </c>
    </row>
    <row r="27" spans="4:42" ht="15">
      <c r="D27" s="102">
        <f aca="true" t="shared" si="6" ref="D27:AJ27">SUM(D3:D26)</f>
        <v>668</v>
      </c>
      <c r="E27" s="102">
        <f t="shared" si="6"/>
        <v>349</v>
      </c>
      <c r="F27" s="102">
        <f t="shared" si="6"/>
        <v>371</v>
      </c>
      <c r="G27" s="102">
        <f t="shared" si="6"/>
        <v>445</v>
      </c>
      <c r="H27" s="102">
        <f t="shared" si="6"/>
        <v>445</v>
      </c>
      <c r="I27" s="102">
        <f t="shared" si="6"/>
        <v>281</v>
      </c>
      <c r="J27" s="102">
        <f t="shared" si="6"/>
        <v>483</v>
      </c>
      <c r="K27" s="102">
        <f t="shared" si="6"/>
        <v>567</v>
      </c>
      <c r="L27" s="102">
        <f t="shared" si="6"/>
        <v>0</v>
      </c>
      <c r="M27" s="102">
        <f t="shared" si="6"/>
        <v>567</v>
      </c>
      <c r="N27" s="102">
        <f t="shared" si="6"/>
        <v>552</v>
      </c>
      <c r="O27" s="102">
        <f t="shared" si="6"/>
        <v>544</v>
      </c>
      <c r="P27" s="102">
        <f t="shared" si="6"/>
        <v>176</v>
      </c>
      <c r="Q27" s="102">
        <f t="shared" si="6"/>
        <v>293</v>
      </c>
      <c r="R27" s="102">
        <f t="shared" si="6"/>
        <v>320</v>
      </c>
      <c r="S27" s="102">
        <f t="shared" si="6"/>
        <v>450</v>
      </c>
      <c r="T27" s="102">
        <f t="shared" si="6"/>
        <v>412</v>
      </c>
      <c r="U27" s="102">
        <f t="shared" si="6"/>
        <v>432</v>
      </c>
      <c r="V27" s="102">
        <f t="shared" si="6"/>
        <v>379</v>
      </c>
      <c r="W27" s="102">
        <f t="shared" si="6"/>
        <v>548</v>
      </c>
      <c r="X27" s="102">
        <f t="shared" si="6"/>
        <v>547</v>
      </c>
      <c r="Y27" s="102">
        <f t="shared" si="6"/>
        <v>417</v>
      </c>
      <c r="Z27" s="102">
        <f t="shared" si="6"/>
        <v>475</v>
      </c>
      <c r="AA27" s="102">
        <f t="shared" si="6"/>
        <v>303</v>
      </c>
      <c r="AB27" s="102">
        <f t="shared" si="6"/>
        <v>411</v>
      </c>
      <c r="AC27" s="102">
        <f t="shared" si="6"/>
        <v>441</v>
      </c>
      <c r="AD27" s="102">
        <f t="shared" si="6"/>
        <v>488</v>
      </c>
      <c r="AE27" s="102">
        <f t="shared" si="6"/>
        <v>261</v>
      </c>
      <c r="AF27" s="102">
        <f t="shared" si="6"/>
        <v>357</v>
      </c>
      <c r="AG27" s="102">
        <f t="shared" si="6"/>
        <v>347</v>
      </c>
      <c r="AH27" s="102">
        <f t="shared" si="6"/>
        <v>270</v>
      </c>
      <c r="AI27" s="102">
        <f t="shared" si="6"/>
        <v>210</v>
      </c>
      <c r="AJ27" s="102">
        <f t="shared" si="6"/>
        <v>326</v>
      </c>
      <c r="AK27" s="67"/>
      <c r="AP27" s="96"/>
    </row>
    <row r="28" spans="2:42" ht="15">
      <c r="B28" s="338" t="s">
        <v>75</v>
      </c>
      <c r="C28" s="106"/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40"/>
      <c r="P28" s="340"/>
      <c r="Q28" s="340"/>
      <c r="R28" s="340"/>
      <c r="S28" s="340"/>
      <c r="T28" s="340"/>
      <c r="U28" s="340"/>
      <c r="V28" s="340"/>
      <c r="W28" s="340"/>
      <c r="X28" s="340"/>
      <c r="Y28" s="340"/>
      <c r="Z28" s="340"/>
      <c r="AA28" s="340"/>
      <c r="AB28" s="340"/>
      <c r="AC28" s="340"/>
      <c r="AD28" s="340"/>
      <c r="AE28" s="340"/>
      <c r="AF28" s="340"/>
      <c r="AG28" s="340"/>
      <c r="AH28" s="340"/>
      <c r="AI28" s="340"/>
      <c r="AJ28" s="340"/>
      <c r="AK28" s="338"/>
      <c r="AL28" s="338"/>
      <c r="AM28" s="338"/>
      <c r="AN28" s="338"/>
      <c r="AP28" s="96"/>
    </row>
    <row r="29" spans="2:42" ht="15">
      <c r="B29" s="338" t="s">
        <v>76</v>
      </c>
      <c r="C29" s="338"/>
      <c r="D29" s="341"/>
      <c r="E29" s="341"/>
      <c r="F29" s="341"/>
      <c r="G29" s="341"/>
      <c r="H29" s="341"/>
      <c r="I29" s="341"/>
      <c r="J29" s="341"/>
      <c r="K29" s="341"/>
      <c r="L29" s="341"/>
      <c r="M29" s="341"/>
      <c r="N29" s="341"/>
      <c r="O29" s="342"/>
      <c r="P29" s="342"/>
      <c r="Q29" s="342"/>
      <c r="R29" s="342"/>
      <c r="S29" s="342"/>
      <c r="T29" s="342"/>
      <c r="U29" s="342"/>
      <c r="V29" s="342"/>
      <c r="W29" s="342"/>
      <c r="X29" s="342"/>
      <c r="Y29" s="342"/>
      <c r="Z29" s="342"/>
      <c r="AA29" s="342"/>
      <c r="AB29" s="342"/>
      <c r="AC29" s="342"/>
      <c r="AD29" s="342"/>
      <c r="AE29" s="342"/>
      <c r="AF29" s="342"/>
      <c r="AG29" s="342"/>
      <c r="AH29" s="342"/>
      <c r="AI29" s="342"/>
      <c r="AJ29" s="342"/>
      <c r="AK29" s="338"/>
      <c r="AL29" s="338"/>
      <c r="AM29" s="338"/>
      <c r="AN29" s="338"/>
      <c r="AP29" s="96"/>
    </row>
    <row r="30" spans="3:42" ht="12.75" customHeight="1">
      <c r="C30" s="103"/>
      <c r="D30" s="343"/>
      <c r="E30" s="343"/>
      <c r="F30" s="343"/>
      <c r="G30" s="343"/>
      <c r="H30" s="343"/>
      <c r="I30" s="343"/>
      <c r="J30" s="343"/>
      <c r="K30" s="343"/>
      <c r="L30" s="343"/>
      <c r="M30" s="343"/>
      <c r="N30" s="343"/>
      <c r="O30" s="69"/>
      <c r="P30" s="69"/>
      <c r="Q30" s="69"/>
      <c r="R30" s="69"/>
      <c r="AF30" s="69"/>
      <c r="AG30" s="69"/>
      <c r="AH30" s="69"/>
      <c r="AI30" s="69"/>
      <c r="AJ30" s="69"/>
      <c r="AK30" s="103"/>
      <c r="AL30" s="103"/>
      <c r="AM30" s="103"/>
      <c r="AN30" s="103"/>
      <c r="AP30" s="96"/>
    </row>
    <row r="31" spans="2:42" ht="15">
      <c r="B31" s="104" t="s">
        <v>77</v>
      </c>
      <c r="D31" s="343"/>
      <c r="E31" s="343"/>
      <c r="F31" s="343"/>
      <c r="G31" s="343"/>
      <c r="H31" s="343"/>
      <c r="I31" s="343"/>
      <c r="J31" s="343"/>
      <c r="K31" s="343"/>
      <c r="L31" s="343"/>
      <c r="M31" s="343"/>
      <c r="N31" s="343"/>
      <c r="O31" s="69"/>
      <c r="P31" s="69"/>
      <c r="Q31" s="69"/>
      <c r="R31" s="69"/>
      <c r="AF31" s="69"/>
      <c r="AG31" s="69"/>
      <c r="AH31" s="69"/>
      <c r="AI31" s="69"/>
      <c r="AJ31" s="69"/>
      <c r="AK31" s="103"/>
      <c r="AL31" s="103"/>
      <c r="AM31" s="103"/>
      <c r="AN31" s="103"/>
      <c r="AP31" s="96"/>
    </row>
  </sheetData>
  <sheetProtection selectLockedCells="1" selectUnlockedCells="1"/>
  <autoFilter ref="B2:AJ2">
    <sortState ref="B3:AJ31">
      <sortCondition sortBy="value" ref="C3:C31"/>
    </sortState>
  </autoFilter>
  <printOptions horizontalCentered="1" verticalCentered="1"/>
  <pageMargins left="0.43333333333333335" right="0.43333333333333335" top="0.5513888888888889" bottom="0.5513888888888889" header="0.5118055555555555" footer="0.5118055555555555"/>
  <pageSetup horizontalDpi="300" verticalDpi="300" orientation="landscape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N85"/>
  <sheetViews>
    <sheetView zoomScale="150" zoomScaleNormal="150" workbookViewId="0" topLeftCell="B3">
      <selection activeCell="G3" sqref="G3:I5"/>
    </sheetView>
  </sheetViews>
  <sheetFormatPr defaultColWidth="9.140625" defaultRowHeight="12.75"/>
  <cols>
    <col min="1" max="1" width="0" style="89" hidden="1" customWidth="1"/>
    <col min="2" max="2" width="16.28125" style="105" customWidth="1"/>
    <col min="3" max="3" width="13.140625" style="106" customWidth="1"/>
    <col min="4" max="4" width="15.00390625" style="107" customWidth="1"/>
    <col min="5" max="5" width="10.140625" style="108" customWidth="1"/>
    <col min="6" max="6" width="4.00390625" style="89" customWidth="1"/>
    <col min="7" max="7" width="16.7109375" style="89" customWidth="1"/>
    <col min="8" max="8" width="16.00390625" style="89" customWidth="1"/>
    <col min="9" max="9" width="8.140625" style="89" customWidth="1"/>
    <col min="10" max="45" width="4.7109375" style="89" customWidth="1"/>
    <col min="46" max="16384" width="9.140625" style="89" customWidth="1"/>
  </cols>
  <sheetData>
    <row r="1" spans="2:36" ht="18">
      <c r="B1" s="422" t="s">
        <v>78</v>
      </c>
      <c r="C1" s="422"/>
      <c r="D1" s="422"/>
      <c r="E1" s="422"/>
      <c r="F1" s="70"/>
      <c r="G1" s="423" t="s">
        <v>79</v>
      </c>
      <c r="H1" s="423"/>
      <c r="I1" s="423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</row>
    <row r="2" spans="2:15" s="88" customFormat="1" ht="81.75" customHeight="1" thickBot="1">
      <c r="B2" s="288"/>
      <c r="C2" s="289" t="s">
        <v>80</v>
      </c>
      <c r="D2" s="290" t="s">
        <v>81</v>
      </c>
      <c r="E2" s="291" t="s">
        <v>82</v>
      </c>
      <c r="H2" s="98" t="s">
        <v>83</v>
      </c>
      <c r="I2" s="74" t="s">
        <v>82</v>
      </c>
      <c r="O2" s="110"/>
    </row>
    <row r="3" spans="2:40" s="390" customFormat="1" ht="15">
      <c r="B3" s="387" t="s">
        <v>13</v>
      </c>
      <c r="C3" s="388">
        <v>0.65</v>
      </c>
      <c r="D3" s="296" t="s">
        <v>209</v>
      </c>
      <c r="E3" s="389">
        <v>41879</v>
      </c>
      <c r="G3" s="416" t="s">
        <v>230</v>
      </c>
      <c r="H3" s="392" t="s">
        <v>350</v>
      </c>
      <c r="I3" s="304">
        <v>41923</v>
      </c>
      <c r="AM3" s="393"/>
      <c r="AN3" s="111"/>
    </row>
    <row r="4" spans="2:40" s="390" customFormat="1" ht="15">
      <c r="B4" s="380" t="s">
        <v>329</v>
      </c>
      <c r="C4" s="297">
        <v>0.73</v>
      </c>
      <c r="D4" s="296" t="s">
        <v>283</v>
      </c>
      <c r="E4" s="381">
        <v>41811</v>
      </c>
      <c r="G4" s="391" t="s">
        <v>17</v>
      </c>
      <c r="H4" s="392" t="s">
        <v>336</v>
      </c>
      <c r="I4" s="394">
        <v>41888</v>
      </c>
      <c r="AM4" s="393"/>
      <c r="AN4" s="111"/>
    </row>
    <row r="5" spans="2:40" s="390" customFormat="1" ht="15.75" thickBot="1">
      <c r="B5" s="395" t="s">
        <v>31</v>
      </c>
      <c r="C5" s="396">
        <v>0.86</v>
      </c>
      <c r="D5" s="397" t="s">
        <v>235</v>
      </c>
      <c r="E5" s="398">
        <v>41858</v>
      </c>
      <c r="F5" s="399"/>
      <c r="G5" s="391" t="s">
        <v>237</v>
      </c>
      <c r="H5" s="392" t="s">
        <v>291</v>
      </c>
      <c r="I5" s="304">
        <v>41811</v>
      </c>
      <c r="J5" s="399"/>
      <c r="K5" s="399"/>
      <c r="L5" s="399"/>
      <c r="M5" s="399"/>
      <c r="AM5" s="393"/>
      <c r="AN5" s="111"/>
    </row>
    <row r="6" spans="2:40" s="390" customFormat="1" ht="15">
      <c r="B6" s="379" t="s">
        <v>329</v>
      </c>
      <c r="C6" s="298">
        <v>0.9</v>
      </c>
      <c r="D6" s="296" t="s">
        <v>239</v>
      </c>
      <c r="E6" s="299">
        <v>41802</v>
      </c>
      <c r="AM6" s="393"/>
      <c r="AN6" s="111"/>
    </row>
    <row r="7" spans="2:40" s="390" customFormat="1" ht="15">
      <c r="B7" s="358" t="s">
        <v>53</v>
      </c>
      <c r="C7" s="297">
        <v>0.93</v>
      </c>
      <c r="D7" s="300" t="s">
        <v>281</v>
      </c>
      <c r="E7" s="299">
        <v>41811</v>
      </c>
      <c r="AM7" s="393"/>
      <c r="AN7" s="111"/>
    </row>
    <row r="8" spans="2:40" s="390" customFormat="1" ht="15">
      <c r="B8" s="357" t="s">
        <v>25</v>
      </c>
      <c r="C8" s="297">
        <v>1.33</v>
      </c>
      <c r="D8" s="300" t="s">
        <v>209</v>
      </c>
      <c r="E8" s="299">
        <v>41816</v>
      </c>
      <c r="AM8" s="393"/>
      <c r="AN8" s="111"/>
    </row>
    <row r="9" spans="2:40" s="390" customFormat="1" ht="15">
      <c r="B9" s="400" t="s">
        <v>329</v>
      </c>
      <c r="C9" s="297">
        <v>1.35</v>
      </c>
      <c r="D9" s="300" t="s">
        <v>330</v>
      </c>
      <c r="E9" s="301">
        <v>41888</v>
      </c>
      <c r="AM9" s="393"/>
      <c r="AN9" s="111"/>
    </row>
    <row r="10" spans="2:40" s="390" customFormat="1" ht="15">
      <c r="B10" s="357" t="s">
        <v>31</v>
      </c>
      <c r="C10" s="297">
        <v>1.59</v>
      </c>
      <c r="D10" s="300" t="s">
        <v>209</v>
      </c>
      <c r="E10" s="301">
        <v>41732</v>
      </c>
      <c r="F10" s="399"/>
      <c r="G10" s="399"/>
      <c r="H10" s="399"/>
      <c r="I10" s="399"/>
      <c r="J10" s="399"/>
      <c r="K10" s="399"/>
      <c r="L10" s="399"/>
      <c r="M10" s="399"/>
      <c r="AM10" s="393"/>
      <c r="AN10" s="111"/>
    </row>
    <row r="11" spans="2:40" s="390" customFormat="1" ht="15">
      <c r="B11" s="358" t="s">
        <v>41</v>
      </c>
      <c r="C11" s="297">
        <v>1.77</v>
      </c>
      <c r="D11" s="300" t="s">
        <v>248</v>
      </c>
      <c r="E11" s="301">
        <v>41760</v>
      </c>
      <c r="AM11" s="393"/>
      <c r="AN11" s="111"/>
    </row>
    <row r="12" spans="2:40" s="390" customFormat="1" ht="15">
      <c r="B12" s="358" t="s">
        <v>17</v>
      </c>
      <c r="C12" s="297">
        <v>1.93</v>
      </c>
      <c r="D12" s="300" t="s">
        <v>280</v>
      </c>
      <c r="E12" s="301">
        <v>41811</v>
      </c>
      <c r="AM12" s="393"/>
      <c r="AN12" s="111"/>
    </row>
    <row r="13" spans="2:40" s="390" customFormat="1" ht="15">
      <c r="B13" s="359" t="s">
        <v>17</v>
      </c>
      <c r="C13" s="297">
        <v>2.16</v>
      </c>
      <c r="D13" s="300" t="s">
        <v>249</v>
      </c>
      <c r="E13" s="301">
        <v>41795</v>
      </c>
      <c r="AM13" s="393"/>
      <c r="AN13" s="111"/>
    </row>
    <row r="14" spans="2:40" s="390" customFormat="1" ht="15">
      <c r="B14" s="357" t="s">
        <v>25</v>
      </c>
      <c r="C14" s="297">
        <v>2.34</v>
      </c>
      <c r="D14" s="300" t="s">
        <v>234</v>
      </c>
      <c r="E14" s="301">
        <v>41732</v>
      </c>
      <c r="AM14" s="393"/>
      <c r="AN14" s="111"/>
    </row>
    <row r="15" spans="2:40" s="390" customFormat="1" ht="15">
      <c r="B15" s="400" t="s">
        <v>31</v>
      </c>
      <c r="C15" s="297">
        <v>2.53</v>
      </c>
      <c r="D15" s="300" t="s">
        <v>250</v>
      </c>
      <c r="E15" s="301">
        <v>41923</v>
      </c>
      <c r="AM15" s="393"/>
      <c r="AN15" s="111"/>
    </row>
    <row r="16" spans="2:40" s="390" customFormat="1" ht="15">
      <c r="B16" s="360" t="s">
        <v>41</v>
      </c>
      <c r="C16" s="297">
        <v>2.6</v>
      </c>
      <c r="D16" s="300" t="s">
        <v>209</v>
      </c>
      <c r="E16" s="301">
        <v>41718</v>
      </c>
      <c r="AM16" s="393"/>
      <c r="AN16" s="111"/>
    </row>
    <row r="17" spans="2:40" s="390" customFormat="1" ht="15">
      <c r="B17" s="400" t="s">
        <v>57</v>
      </c>
      <c r="C17" s="297">
        <v>2.61</v>
      </c>
      <c r="D17" s="300" t="s">
        <v>209</v>
      </c>
      <c r="E17" s="301">
        <v>41858</v>
      </c>
      <c r="AM17" s="393"/>
      <c r="AN17" s="111"/>
    </row>
    <row r="18" spans="2:40" s="390" customFormat="1" ht="15">
      <c r="B18" s="357" t="s">
        <v>33</v>
      </c>
      <c r="C18" s="297">
        <v>2.72</v>
      </c>
      <c r="D18" s="300" t="s">
        <v>235</v>
      </c>
      <c r="E18" s="301">
        <v>41732</v>
      </c>
      <c r="AM18" s="393"/>
      <c r="AN18" s="111"/>
    </row>
    <row r="19" spans="2:40" s="399" customFormat="1" ht="15">
      <c r="B19" s="401" t="s">
        <v>329</v>
      </c>
      <c r="C19" s="402">
        <v>2.72</v>
      </c>
      <c r="D19" s="403" t="s">
        <v>249</v>
      </c>
      <c r="E19" s="404">
        <v>41886</v>
      </c>
      <c r="F19" s="390"/>
      <c r="G19" s="390"/>
      <c r="H19" s="390"/>
      <c r="I19" s="390"/>
      <c r="J19" s="390"/>
      <c r="K19" s="390"/>
      <c r="L19" s="390"/>
      <c r="M19" s="390"/>
      <c r="AM19" s="405"/>
      <c r="AN19" s="111"/>
    </row>
    <row r="20" spans="2:40" s="399" customFormat="1" ht="15">
      <c r="B20" s="406" t="s">
        <v>47</v>
      </c>
      <c r="C20" s="302">
        <v>2.91</v>
      </c>
      <c r="D20" s="303" t="s">
        <v>239</v>
      </c>
      <c r="E20" s="304">
        <v>41893</v>
      </c>
      <c r="F20" s="390"/>
      <c r="G20" s="390"/>
      <c r="H20" s="390"/>
      <c r="I20" s="390"/>
      <c r="J20" s="390"/>
      <c r="K20" s="390"/>
      <c r="L20" s="390"/>
      <c r="M20" s="390"/>
      <c r="AM20" s="405"/>
      <c r="AN20" s="111"/>
    </row>
    <row r="21" spans="2:40" s="399" customFormat="1" ht="15">
      <c r="B21" s="361" t="s">
        <v>57</v>
      </c>
      <c r="C21" s="302">
        <v>2.92</v>
      </c>
      <c r="D21" s="303" t="s">
        <v>249</v>
      </c>
      <c r="E21" s="304">
        <v>41760</v>
      </c>
      <c r="F21" s="390"/>
      <c r="G21" s="390"/>
      <c r="H21" s="390"/>
      <c r="I21" s="390"/>
      <c r="J21" s="390"/>
      <c r="K21" s="390"/>
      <c r="L21" s="390"/>
      <c r="M21" s="390"/>
      <c r="AM21" s="405"/>
      <c r="AN21" s="111"/>
    </row>
    <row r="22" spans="2:40" s="399" customFormat="1" ht="15">
      <c r="B22" s="406" t="s">
        <v>51</v>
      </c>
      <c r="C22" s="302">
        <v>2.92</v>
      </c>
      <c r="D22" s="303" t="s">
        <v>234</v>
      </c>
      <c r="E22" s="304">
        <v>41923</v>
      </c>
      <c r="F22" s="390"/>
      <c r="G22" s="390"/>
      <c r="H22" s="390"/>
      <c r="I22" s="390"/>
      <c r="J22" s="390"/>
      <c r="K22" s="390"/>
      <c r="L22" s="390"/>
      <c r="M22" s="390"/>
      <c r="AM22" s="405"/>
      <c r="AN22" s="111"/>
    </row>
    <row r="23" spans="2:5" s="390" customFormat="1" ht="15">
      <c r="B23" s="406" t="s">
        <v>19</v>
      </c>
      <c r="C23" s="302">
        <v>2.98</v>
      </c>
      <c r="D23" s="303" t="s">
        <v>248</v>
      </c>
      <c r="E23" s="304">
        <v>41858</v>
      </c>
    </row>
    <row r="24" spans="2:5" s="390" customFormat="1" ht="15">
      <c r="B24" s="406" t="s">
        <v>35</v>
      </c>
      <c r="C24" s="302">
        <v>3.39</v>
      </c>
      <c r="D24" s="303" t="s">
        <v>209</v>
      </c>
      <c r="E24" s="304">
        <v>41923</v>
      </c>
    </row>
    <row r="25" spans="2:5" s="390" customFormat="1" ht="15">
      <c r="B25" s="361" t="s">
        <v>329</v>
      </c>
      <c r="C25" s="302">
        <v>3.45</v>
      </c>
      <c r="D25" s="303" t="s">
        <v>248</v>
      </c>
      <c r="E25" s="304">
        <v>41823</v>
      </c>
    </row>
    <row r="26" spans="2:13" s="390" customFormat="1" ht="15">
      <c r="B26" s="361" t="s">
        <v>47</v>
      </c>
      <c r="C26" s="302">
        <v>3.56</v>
      </c>
      <c r="D26" s="303" t="s">
        <v>209</v>
      </c>
      <c r="E26" s="304">
        <v>41753</v>
      </c>
      <c r="F26" s="399"/>
      <c r="G26" s="399"/>
      <c r="H26" s="399"/>
      <c r="I26" s="399"/>
      <c r="J26" s="399"/>
      <c r="K26" s="399"/>
      <c r="L26" s="399"/>
      <c r="M26" s="399"/>
    </row>
    <row r="27" spans="2:5" s="390" customFormat="1" ht="15">
      <c r="B27" s="362" t="s">
        <v>329</v>
      </c>
      <c r="C27" s="302">
        <v>3.57</v>
      </c>
      <c r="D27" s="303" t="s">
        <v>209</v>
      </c>
      <c r="E27" s="304">
        <v>41774</v>
      </c>
    </row>
    <row r="28" spans="2:13" s="390" customFormat="1" ht="15">
      <c r="B28" s="362" t="s">
        <v>17</v>
      </c>
      <c r="C28" s="302">
        <v>3.95</v>
      </c>
      <c r="D28" s="303" t="s">
        <v>209</v>
      </c>
      <c r="E28" s="304">
        <v>41767</v>
      </c>
      <c r="F28" s="399"/>
      <c r="G28" s="399"/>
      <c r="H28" s="399"/>
      <c r="I28" s="399"/>
      <c r="J28" s="399"/>
      <c r="K28" s="399"/>
      <c r="L28" s="399"/>
      <c r="M28" s="399"/>
    </row>
    <row r="29" spans="2:5" s="390" customFormat="1" ht="15">
      <c r="B29" s="361" t="s">
        <v>13</v>
      </c>
      <c r="C29" s="302">
        <v>4.27</v>
      </c>
      <c r="D29" s="303" t="s">
        <v>209</v>
      </c>
      <c r="E29" s="304">
        <v>41711</v>
      </c>
    </row>
    <row r="30" spans="2:5" s="390" customFormat="1" ht="15">
      <c r="B30" s="406" t="s">
        <v>45</v>
      </c>
      <c r="C30" s="302">
        <v>4.55</v>
      </c>
      <c r="D30" s="303" t="s">
        <v>332</v>
      </c>
      <c r="E30" s="304">
        <v>41888</v>
      </c>
    </row>
    <row r="31" spans="2:5" s="390" customFormat="1" ht="15">
      <c r="B31" s="406" t="s">
        <v>41</v>
      </c>
      <c r="C31" s="302">
        <v>4.68</v>
      </c>
      <c r="D31" s="303" t="s">
        <v>333</v>
      </c>
      <c r="E31" s="304">
        <v>41888</v>
      </c>
    </row>
    <row r="32" spans="2:5" s="390" customFormat="1" ht="15">
      <c r="B32" s="361" t="s">
        <v>29</v>
      </c>
      <c r="C32" s="302">
        <v>4.72</v>
      </c>
      <c r="D32" s="303" t="s">
        <v>209</v>
      </c>
      <c r="E32" s="304">
        <v>41809</v>
      </c>
    </row>
    <row r="33" spans="2:5" s="390" customFormat="1" ht="15">
      <c r="B33" s="406" t="s">
        <v>17</v>
      </c>
      <c r="C33" s="302">
        <v>4.81</v>
      </c>
      <c r="D33" s="303" t="s">
        <v>331</v>
      </c>
      <c r="E33" s="304">
        <v>41888</v>
      </c>
    </row>
    <row r="34" spans="2:5" s="390" customFormat="1" ht="15">
      <c r="B34" s="406" t="s">
        <v>49</v>
      </c>
      <c r="C34" s="302">
        <v>4.89</v>
      </c>
      <c r="D34" s="303" t="s">
        <v>271</v>
      </c>
      <c r="E34" s="304">
        <v>41858</v>
      </c>
    </row>
    <row r="35" spans="2:5" s="390" customFormat="1" ht="15">
      <c r="B35" s="406" t="s">
        <v>329</v>
      </c>
      <c r="C35" s="302">
        <v>5.03</v>
      </c>
      <c r="D35" s="303" t="s">
        <v>249</v>
      </c>
      <c r="E35" s="304">
        <v>41923</v>
      </c>
    </row>
    <row r="36" spans="2:5" s="390" customFormat="1" ht="15">
      <c r="B36" s="361" t="s">
        <v>13</v>
      </c>
      <c r="C36" s="302">
        <v>5.08</v>
      </c>
      <c r="D36" s="303" t="s">
        <v>209</v>
      </c>
      <c r="E36" s="304">
        <v>41851</v>
      </c>
    </row>
    <row r="37" spans="2:5" s="390" customFormat="1" ht="15">
      <c r="B37" s="406" t="s">
        <v>25</v>
      </c>
      <c r="C37" s="302">
        <v>5.3</v>
      </c>
      <c r="D37" s="303" t="s">
        <v>235</v>
      </c>
      <c r="E37" s="304">
        <v>41886</v>
      </c>
    </row>
    <row r="38" spans="2:5" s="390" customFormat="1" ht="15">
      <c r="B38" s="406" t="s">
        <v>39</v>
      </c>
      <c r="C38" s="302">
        <v>5.34</v>
      </c>
      <c r="D38" s="303" t="s">
        <v>239</v>
      </c>
      <c r="E38" s="304">
        <v>41907</v>
      </c>
    </row>
    <row r="39" spans="2:5" s="390" customFormat="1" ht="15">
      <c r="B39" s="362" t="s">
        <v>53</v>
      </c>
      <c r="C39" s="302">
        <v>5.6</v>
      </c>
      <c r="D39" s="303" t="s">
        <v>282</v>
      </c>
      <c r="E39" s="304">
        <v>41811</v>
      </c>
    </row>
    <row r="40" spans="2:5" s="390" customFormat="1" ht="15">
      <c r="B40" s="406" t="s">
        <v>329</v>
      </c>
      <c r="C40" s="302">
        <v>5.86</v>
      </c>
      <c r="D40" s="303" t="s">
        <v>248</v>
      </c>
      <c r="E40" s="304">
        <v>41886</v>
      </c>
    </row>
    <row r="41" spans="2:5" s="390" customFormat="1" ht="15">
      <c r="B41" s="406" t="s">
        <v>49</v>
      </c>
      <c r="C41" s="302">
        <v>5.88</v>
      </c>
      <c r="D41" s="303" t="s">
        <v>250</v>
      </c>
      <c r="E41" s="304">
        <v>41886</v>
      </c>
    </row>
    <row r="42" spans="2:5" s="390" customFormat="1" ht="15">
      <c r="B42" s="363" t="s">
        <v>31</v>
      </c>
      <c r="C42" s="302">
        <v>6.08</v>
      </c>
      <c r="D42" s="303" t="s">
        <v>271</v>
      </c>
      <c r="E42" s="304">
        <v>41823</v>
      </c>
    </row>
    <row r="43" spans="2:5" s="390" customFormat="1" ht="15">
      <c r="B43" s="415" t="s">
        <v>51</v>
      </c>
      <c r="C43" s="384">
        <v>6.56</v>
      </c>
      <c r="D43" s="385" t="s">
        <v>271</v>
      </c>
      <c r="E43" s="386">
        <v>41795</v>
      </c>
    </row>
    <row r="44" spans="2:5" s="390" customFormat="1" ht="15">
      <c r="B44" s="400" t="s">
        <v>57</v>
      </c>
      <c r="C44" s="297">
        <v>6.69</v>
      </c>
      <c r="D44" s="300" t="s">
        <v>239</v>
      </c>
      <c r="E44" s="301">
        <v>41865</v>
      </c>
    </row>
    <row r="45" spans="2:5" s="390" customFormat="1" ht="15">
      <c r="B45" s="400" t="s">
        <v>51</v>
      </c>
      <c r="C45" s="297">
        <v>7.65</v>
      </c>
      <c r="D45" s="300" t="s">
        <v>209</v>
      </c>
      <c r="E45" s="301">
        <v>41872</v>
      </c>
    </row>
    <row r="46" spans="2:5" s="390" customFormat="1" ht="15">
      <c r="B46" s="400" t="s">
        <v>57</v>
      </c>
      <c r="C46" s="297">
        <v>7.84</v>
      </c>
      <c r="D46" s="300" t="s">
        <v>239</v>
      </c>
      <c r="E46" s="301">
        <v>41914</v>
      </c>
    </row>
    <row r="47" spans="2:5" s="390" customFormat="1" ht="15">
      <c r="B47" s="400" t="s">
        <v>33</v>
      </c>
      <c r="C47" s="297">
        <v>7.85</v>
      </c>
      <c r="D47" s="300" t="s">
        <v>248</v>
      </c>
      <c r="E47" s="301">
        <v>41923</v>
      </c>
    </row>
    <row r="48" spans="2:5" s="390" customFormat="1" ht="15">
      <c r="B48" s="357" t="s">
        <v>57</v>
      </c>
      <c r="C48" s="297">
        <v>7.9</v>
      </c>
      <c r="D48" s="300" t="s">
        <v>250</v>
      </c>
      <c r="E48" s="301">
        <v>41760</v>
      </c>
    </row>
    <row r="49" spans="2:5" s="390" customFormat="1" ht="15">
      <c r="B49" s="400" t="s">
        <v>47</v>
      </c>
      <c r="C49" s="297">
        <v>7.9</v>
      </c>
      <c r="D49" s="300" t="s">
        <v>234</v>
      </c>
      <c r="E49" s="301">
        <v>41858</v>
      </c>
    </row>
    <row r="50" spans="2:5" s="390" customFormat="1" ht="15">
      <c r="B50" s="383" t="s">
        <v>41</v>
      </c>
      <c r="C50" s="297">
        <v>8.09</v>
      </c>
      <c r="D50" s="300" t="s">
        <v>235</v>
      </c>
      <c r="E50" s="301">
        <v>41795</v>
      </c>
    </row>
    <row r="51" spans="2:5" s="390" customFormat="1" ht="15">
      <c r="B51" s="357" t="s">
        <v>49</v>
      </c>
      <c r="C51" s="297">
        <v>8.1</v>
      </c>
      <c r="D51" s="300" t="s">
        <v>239</v>
      </c>
      <c r="E51" s="301">
        <v>41739</v>
      </c>
    </row>
    <row r="52" spans="2:5" s="390" customFormat="1" ht="15">
      <c r="B52" s="358" t="s">
        <v>57</v>
      </c>
      <c r="C52" s="297">
        <v>8.94</v>
      </c>
      <c r="D52" s="300" t="s">
        <v>239</v>
      </c>
      <c r="E52" s="301">
        <v>41823</v>
      </c>
    </row>
    <row r="53" spans="2:5" s="390" customFormat="1" ht="15">
      <c r="B53" s="358" t="s">
        <v>51</v>
      </c>
      <c r="C53" s="297">
        <v>9.69</v>
      </c>
      <c r="D53" s="300" t="s">
        <v>239</v>
      </c>
      <c r="E53" s="301">
        <v>41795</v>
      </c>
    </row>
    <row r="54" spans="2:5" s="390" customFormat="1" ht="15">
      <c r="B54" s="360" t="s">
        <v>41</v>
      </c>
      <c r="C54" s="297">
        <v>10.08</v>
      </c>
      <c r="D54" s="300" t="s">
        <v>284</v>
      </c>
      <c r="E54" s="301">
        <v>41811</v>
      </c>
    </row>
    <row r="55" spans="2:5" s="390" customFormat="1" ht="15">
      <c r="B55" s="357" t="s">
        <v>13</v>
      </c>
      <c r="C55" s="297">
        <v>10.23</v>
      </c>
      <c r="D55" s="300" t="s">
        <v>209</v>
      </c>
      <c r="E55" s="301">
        <v>41725</v>
      </c>
    </row>
    <row r="56" spans="2:5" s="390" customFormat="1" ht="15">
      <c r="B56" s="358" t="s">
        <v>39</v>
      </c>
      <c r="C56" s="297">
        <v>10.27</v>
      </c>
      <c r="D56" s="300" t="s">
        <v>209</v>
      </c>
      <c r="E56" s="301">
        <v>41830</v>
      </c>
    </row>
    <row r="57" spans="2:5" s="390" customFormat="1" ht="15">
      <c r="B57" s="358" t="s">
        <v>33</v>
      </c>
      <c r="C57" s="297">
        <v>10.35</v>
      </c>
      <c r="D57" s="300" t="s">
        <v>250</v>
      </c>
      <c r="E57" s="301">
        <v>41823</v>
      </c>
    </row>
    <row r="58" spans="2:5" s="390" customFormat="1" ht="15">
      <c r="B58" s="357" t="s">
        <v>31</v>
      </c>
      <c r="C58" s="297">
        <v>10.36</v>
      </c>
      <c r="D58" s="300" t="s">
        <v>209</v>
      </c>
      <c r="E58" s="301">
        <v>41788</v>
      </c>
    </row>
    <row r="59" spans="2:5" s="390" customFormat="1" ht="15">
      <c r="B59" s="360" t="s">
        <v>33</v>
      </c>
      <c r="C59" s="297">
        <v>10.85</v>
      </c>
      <c r="D59" s="300" t="s">
        <v>209</v>
      </c>
      <c r="E59" s="301">
        <v>41746</v>
      </c>
    </row>
    <row r="60" spans="2:5" s="390" customFormat="1" ht="15">
      <c r="B60" s="400" t="s">
        <v>33</v>
      </c>
      <c r="C60" s="297">
        <v>11</v>
      </c>
      <c r="D60" s="300" t="s">
        <v>239</v>
      </c>
      <c r="E60" s="301">
        <v>41923</v>
      </c>
    </row>
    <row r="61" spans="2:5" s="390" customFormat="1" ht="15">
      <c r="B61" s="358" t="s">
        <v>207</v>
      </c>
      <c r="C61" s="297">
        <v>11.75</v>
      </c>
      <c r="D61" s="300" t="s">
        <v>239</v>
      </c>
      <c r="E61" s="301">
        <v>41760</v>
      </c>
    </row>
    <row r="62" spans="2:5" s="390" customFormat="1" ht="15">
      <c r="B62" s="400" t="s">
        <v>223</v>
      </c>
      <c r="C62" s="297">
        <v>12.18</v>
      </c>
      <c r="D62" s="300" t="s">
        <v>235</v>
      </c>
      <c r="E62" s="301">
        <v>41923</v>
      </c>
    </row>
    <row r="63" spans="2:5" s="390" customFormat="1" ht="15">
      <c r="B63" s="358" t="s">
        <v>33</v>
      </c>
      <c r="C63" s="297">
        <v>12.37</v>
      </c>
      <c r="D63" s="300" t="s">
        <v>250</v>
      </c>
      <c r="E63" s="301">
        <v>41795</v>
      </c>
    </row>
    <row r="64" spans="2:5" s="390" customFormat="1" ht="15">
      <c r="B64" s="358" t="s">
        <v>207</v>
      </c>
      <c r="C64" s="297">
        <v>12.42</v>
      </c>
      <c r="D64" s="300" t="s">
        <v>239</v>
      </c>
      <c r="E64" s="301">
        <v>41781</v>
      </c>
    </row>
    <row r="65" spans="2:5" s="390" customFormat="1" ht="15">
      <c r="B65" s="400" t="s">
        <v>35</v>
      </c>
      <c r="C65" s="297">
        <v>13.4</v>
      </c>
      <c r="D65" s="300" t="s">
        <v>209</v>
      </c>
      <c r="E65" s="301">
        <v>41900</v>
      </c>
    </row>
    <row r="66" spans="2:5" s="390" customFormat="1" ht="15">
      <c r="B66" s="357" t="s">
        <v>31</v>
      </c>
      <c r="C66" s="297">
        <v>13.88</v>
      </c>
      <c r="D66" s="300" t="s">
        <v>249</v>
      </c>
      <c r="E66" s="301">
        <v>41823</v>
      </c>
    </row>
    <row r="67" spans="2:5" s="390" customFormat="1" ht="15">
      <c r="B67" s="357" t="s">
        <v>216</v>
      </c>
      <c r="C67" s="297">
        <v>14.45</v>
      </c>
      <c r="D67" s="300" t="s">
        <v>209</v>
      </c>
      <c r="E67" s="301">
        <v>41837</v>
      </c>
    </row>
    <row r="68" spans="2:5" s="390" customFormat="1" ht="15">
      <c r="B68" s="358" t="s">
        <v>35</v>
      </c>
      <c r="C68" s="297">
        <v>15.5</v>
      </c>
      <c r="D68" s="300" t="s">
        <v>248</v>
      </c>
      <c r="E68" s="301">
        <v>41795</v>
      </c>
    </row>
    <row r="69" spans="2:5" s="390" customFormat="1" ht="15">
      <c r="B69" s="400" t="s">
        <v>25</v>
      </c>
      <c r="C69" s="297">
        <v>20.37</v>
      </c>
      <c r="D69" s="300" t="s">
        <v>271</v>
      </c>
      <c r="E69" s="301">
        <v>41886</v>
      </c>
    </row>
    <row r="70" spans="2:5" s="390" customFormat="1" ht="15">
      <c r="B70" s="400"/>
      <c r="C70" s="297"/>
      <c r="D70" s="407"/>
      <c r="E70" s="408"/>
    </row>
    <row r="71" spans="2:5" s="390" customFormat="1" ht="15">
      <c r="B71" s="409"/>
      <c r="C71" s="410"/>
      <c r="D71" s="411"/>
      <c r="E71" s="412"/>
    </row>
    <row r="72" spans="2:5" s="390" customFormat="1" ht="15">
      <c r="B72" s="409"/>
      <c r="C72" s="410"/>
      <c r="D72" s="411"/>
      <c r="E72" s="412"/>
    </row>
    <row r="73" spans="2:5" s="390" customFormat="1" ht="15">
      <c r="B73" s="409"/>
      <c r="C73" s="410"/>
      <c r="D73" s="411"/>
      <c r="E73" s="412"/>
    </row>
    <row r="74" spans="2:5" s="390" customFormat="1" ht="15">
      <c r="B74" s="409"/>
      <c r="C74" s="410"/>
      <c r="D74" s="411"/>
      <c r="E74" s="412"/>
    </row>
    <row r="75" spans="2:5" s="390" customFormat="1" ht="15">
      <c r="B75" s="409"/>
      <c r="C75" s="410"/>
      <c r="D75" s="411"/>
      <c r="E75" s="412"/>
    </row>
    <row r="76" spans="2:5" s="390" customFormat="1" ht="15">
      <c r="B76" s="409"/>
      <c r="C76" s="413"/>
      <c r="D76" s="411"/>
      <c r="E76" s="412"/>
    </row>
    <row r="77" spans="2:5" s="390" customFormat="1" ht="15">
      <c r="B77" s="409"/>
      <c r="C77" s="413"/>
      <c r="D77" s="411"/>
      <c r="E77" s="412"/>
    </row>
    <row r="78" spans="2:5" s="390" customFormat="1" ht="15">
      <c r="B78" s="409"/>
      <c r="C78" s="413"/>
      <c r="D78" s="411"/>
      <c r="E78" s="412"/>
    </row>
    <row r="79" spans="2:5" s="390" customFormat="1" ht="15">
      <c r="B79" s="409"/>
      <c r="C79" s="413"/>
      <c r="D79" s="411"/>
      <c r="E79" s="412"/>
    </row>
    <row r="80" spans="2:5" s="390" customFormat="1" ht="15">
      <c r="B80" s="409"/>
      <c r="C80" s="413"/>
      <c r="D80" s="411"/>
      <c r="E80" s="412"/>
    </row>
    <row r="81" spans="2:5" s="390" customFormat="1" ht="15">
      <c r="B81" s="409"/>
      <c r="C81" s="413"/>
      <c r="D81" s="411"/>
      <c r="E81" s="412"/>
    </row>
    <row r="82" spans="2:5" s="390" customFormat="1" ht="15">
      <c r="B82" s="409"/>
      <c r="C82" s="413"/>
      <c r="D82" s="411"/>
      <c r="E82" s="412"/>
    </row>
    <row r="83" spans="2:5" s="390" customFormat="1" ht="15">
      <c r="B83" s="409"/>
      <c r="C83" s="413"/>
      <c r="D83" s="411"/>
      <c r="E83" s="412"/>
    </row>
    <row r="84" spans="2:5" s="390" customFormat="1" ht="15">
      <c r="B84" s="409"/>
      <c r="C84" s="413"/>
      <c r="D84" s="411"/>
      <c r="E84" s="412"/>
    </row>
    <row r="85" spans="2:5" s="390" customFormat="1" ht="15">
      <c r="B85" s="409"/>
      <c r="C85" s="413"/>
      <c r="D85" s="411"/>
      <c r="E85" s="412"/>
    </row>
  </sheetData>
  <sheetProtection selectLockedCells="1" selectUnlockedCells="1"/>
  <autoFilter ref="B2:E2">
    <sortState ref="B3:E85">
      <sortCondition sortBy="value" ref="C3:C85"/>
    </sortState>
  </autoFilter>
  <mergeCells count="2">
    <mergeCell ref="B1:E1"/>
    <mergeCell ref="G1:I1"/>
  </mergeCells>
  <printOptions horizontalCentered="1" verticalCentered="1"/>
  <pageMargins left="0.43333333333333335" right="0.43333333333333335" top="0.5513888888888889" bottom="0.5513888888888889" header="0.5118055555555555" footer="0.5118055555555555"/>
  <pageSetup horizontalDpi="300" verticalDpi="3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8"/>
  <sheetViews>
    <sheetView zoomScale="150" zoomScaleNormal="150" workbookViewId="0" topLeftCell="A1">
      <selection activeCell="K13" sqref="K13:L15"/>
    </sheetView>
  </sheetViews>
  <sheetFormatPr defaultColWidth="9.140625" defaultRowHeight="12.75"/>
  <cols>
    <col min="1" max="1" width="3.7109375" style="112" customWidth="1"/>
    <col min="2" max="2" width="9.7109375" style="112" customWidth="1"/>
    <col min="3" max="3" width="10.7109375" style="113" customWidth="1"/>
    <col min="4" max="4" width="2.7109375" style="112" customWidth="1"/>
    <col min="5" max="5" width="9.7109375" style="112" customWidth="1"/>
    <col min="6" max="6" width="10.7109375" style="114" customWidth="1"/>
    <col min="7" max="7" width="2.7109375" style="112" customWidth="1"/>
    <col min="8" max="8" width="9.7109375" style="112" customWidth="1"/>
    <col min="9" max="9" width="10.7109375" style="113" customWidth="1"/>
    <col min="10" max="10" width="2.7109375" style="112" customWidth="1"/>
    <col min="11" max="11" width="9.7109375" style="112" customWidth="1"/>
    <col min="12" max="12" width="10.7109375" style="113" customWidth="1"/>
    <col min="13" max="16384" width="9.140625" style="112" customWidth="1"/>
  </cols>
  <sheetData>
    <row r="1" spans="1:12" ht="12.75">
      <c r="A1" s="424" t="s">
        <v>0</v>
      </c>
      <c r="B1" s="424"/>
      <c r="C1" s="424"/>
      <c r="D1" s="116"/>
      <c r="E1" s="424" t="s">
        <v>1</v>
      </c>
      <c r="F1" s="424"/>
      <c r="G1" s="116"/>
      <c r="H1" s="424" t="s">
        <v>2</v>
      </c>
      <c r="I1" s="424"/>
      <c r="J1" s="116"/>
      <c r="K1" s="424" t="s">
        <v>84</v>
      </c>
      <c r="L1" s="424"/>
    </row>
    <row r="2" spans="1:12" ht="15" customHeight="1">
      <c r="A2" s="117">
        <v>1</v>
      </c>
      <c r="B2" s="118" t="str">
        <f>Point!B3</f>
        <v>Jakob K</v>
      </c>
      <c r="C2" s="119">
        <f>Point!C3</f>
        <v>128</v>
      </c>
      <c r="D2" s="115"/>
      <c r="E2" s="120" t="str">
        <f>Money!B3</f>
        <v>Jakob K</v>
      </c>
      <c r="F2" s="121">
        <f>Money!C3</f>
        <v>26890000</v>
      </c>
      <c r="G2" s="115"/>
      <c r="H2" s="118" t="str">
        <f>Puts!B3</f>
        <v>Jakob K</v>
      </c>
      <c r="I2" s="122">
        <f>Puts!C3</f>
        <v>29.5</v>
      </c>
      <c r="J2" s="115"/>
      <c r="K2" s="118" t="str">
        <f>'Samlet Stilling'!O3</f>
        <v>Børge H</v>
      </c>
      <c r="L2" s="122">
        <f>'Samlet Stilling'!P3</f>
        <v>0.65</v>
      </c>
    </row>
    <row r="3" spans="1:12" ht="15" customHeight="1">
      <c r="A3" s="117">
        <v>2</v>
      </c>
      <c r="B3" s="118" t="str">
        <f>Point!B4</f>
        <v>Karsten V</v>
      </c>
      <c r="C3" s="119">
        <f>Point!C4</f>
        <v>124</v>
      </c>
      <c r="D3" s="115"/>
      <c r="E3" s="120" t="str">
        <f>Money!B4</f>
        <v>Karsten V</v>
      </c>
      <c r="F3" s="121">
        <f>Money!C4</f>
        <v>25480000</v>
      </c>
      <c r="G3" s="115"/>
      <c r="H3" s="118" t="str">
        <f>Puts!B4</f>
        <v>Robin T</v>
      </c>
      <c r="I3" s="122">
        <f>Puts!C4</f>
        <v>30.27777777777778</v>
      </c>
      <c r="J3" s="115"/>
      <c r="K3" s="118" t="str">
        <f>'Samlet Stilling'!O4</f>
        <v>Jesper VN </v>
      </c>
      <c r="L3" s="122">
        <f>'Samlet Stilling'!P4</f>
        <v>0.73</v>
      </c>
    </row>
    <row r="4" spans="1:12" ht="15" customHeight="1" thickBot="1">
      <c r="A4" s="123">
        <v>3</v>
      </c>
      <c r="B4" s="124" t="str">
        <f>Point!B5</f>
        <v>Jan H</v>
      </c>
      <c r="C4" s="125">
        <f>Point!C5</f>
        <v>115</v>
      </c>
      <c r="D4" s="115"/>
      <c r="E4" s="126" t="str">
        <f>Money!B5</f>
        <v>Jan H</v>
      </c>
      <c r="F4" s="127">
        <f>Money!C5</f>
        <v>23390000</v>
      </c>
      <c r="G4" s="115"/>
      <c r="H4" s="124" t="str">
        <f>Puts!B5</f>
        <v>Jan H</v>
      </c>
      <c r="I4" s="128">
        <f>Puts!C5</f>
        <v>30.944444444444443</v>
      </c>
      <c r="J4" s="115"/>
      <c r="K4" s="305" t="str">
        <f>'Samlet Stilling'!O5</f>
        <v>Jakob K</v>
      </c>
      <c r="L4" s="306">
        <f>'Samlet Stilling'!P5</f>
        <v>0.86</v>
      </c>
    </row>
    <row r="5" spans="1:12" ht="15" customHeight="1">
      <c r="A5" s="129">
        <v>4</v>
      </c>
      <c r="B5" s="130" t="str">
        <f>Point!B6</f>
        <v>Jesper VN</v>
      </c>
      <c r="C5" s="131">
        <f>Point!C6</f>
        <v>103</v>
      </c>
      <c r="D5" s="115"/>
      <c r="E5" s="132" t="str">
        <f>Money!B6</f>
        <v>Jesper VN</v>
      </c>
      <c r="F5" s="133">
        <f>Money!C6</f>
        <v>19890000</v>
      </c>
      <c r="G5" s="115"/>
      <c r="H5" s="130" t="str">
        <f>Puts!B6</f>
        <v>Erik P</v>
      </c>
      <c r="I5" s="134">
        <f>Puts!C6</f>
        <v>31.27777777777778</v>
      </c>
      <c r="J5" s="115"/>
      <c r="K5" s="130" t="str">
        <f>'Samlet Stilling'!O6</f>
        <v>Jesper VN </v>
      </c>
      <c r="L5" s="134">
        <f>'Samlet Stilling'!P6</f>
        <v>0.9</v>
      </c>
    </row>
    <row r="6" spans="1:12" ht="15" customHeight="1">
      <c r="A6" s="117">
        <v>5</v>
      </c>
      <c r="B6" s="118" t="str">
        <f>Point!B7</f>
        <v>Robin T</v>
      </c>
      <c r="C6" s="119">
        <f>Point!C7</f>
        <v>94</v>
      </c>
      <c r="D6" s="115"/>
      <c r="E6" s="120" t="str">
        <f>Money!B7</f>
        <v>Robin T</v>
      </c>
      <c r="F6" s="121">
        <f>Money!C7</f>
        <v>17190000</v>
      </c>
      <c r="G6" s="115"/>
      <c r="H6" s="118" t="str">
        <f>Puts!B7</f>
        <v>Jesper VN</v>
      </c>
      <c r="I6" s="122">
        <f>Puts!C7</f>
        <v>31.38888888888889</v>
      </c>
      <c r="J6" s="115"/>
      <c r="K6" s="118" t="str">
        <f>'Samlet Stilling'!O7</f>
        <v>Steen NP</v>
      </c>
      <c r="L6" s="122">
        <f>'Samlet Stilling'!P7</f>
        <v>0.93</v>
      </c>
    </row>
    <row r="7" spans="1:12" ht="15" customHeight="1">
      <c r="A7" s="117">
        <v>6</v>
      </c>
      <c r="B7" s="118" t="str">
        <f>Point!B8</f>
        <v>Ole M</v>
      </c>
      <c r="C7" s="119">
        <f>Point!C8</f>
        <v>66</v>
      </c>
      <c r="D7" s="115"/>
      <c r="E7" s="120" t="str">
        <f>Money!B8</f>
        <v>Morten C</v>
      </c>
      <c r="F7" s="121">
        <f>Money!C8</f>
        <v>12470000</v>
      </c>
      <c r="G7" s="115"/>
      <c r="H7" s="118" t="str">
        <f>Puts!B8</f>
        <v>Karsten V</v>
      </c>
      <c r="I7" s="122">
        <f>Puts!C8</f>
        <v>31.38888888888889</v>
      </c>
      <c r="J7" s="115"/>
      <c r="K7" s="118" t="str">
        <f>'Samlet Stilling'!O8</f>
        <v>Hans MV</v>
      </c>
      <c r="L7" s="122">
        <f>'Samlet Stilling'!P8</f>
        <v>1.33</v>
      </c>
    </row>
    <row r="8" spans="1:12" ht="15" customHeight="1">
      <c r="A8" s="117">
        <v>7</v>
      </c>
      <c r="B8" s="118" t="str">
        <f>Point!B9</f>
        <v>Morten C</v>
      </c>
      <c r="C8" s="119">
        <f>Point!C9</f>
        <v>65</v>
      </c>
      <c r="D8" s="115"/>
      <c r="E8" s="120" t="str">
        <f>Money!B9</f>
        <v>Ole M</v>
      </c>
      <c r="F8" s="121">
        <f>Money!C9</f>
        <v>12420000</v>
      </c>
      <c r="G8" s="115"/>
      <c r="H8" s="118" t="str">
        <f>Puts!B9</f>
        <v>Ole M</v>
      </c>
      <c r="I8" s="122">
        <f>Puts!C9</f>
        <v>31.88888888888889</v>
      </c>
      <c r="J8" s="115"/>
      <c r="K8" s="118" t="str">
        <f>'Samlet Stilling'!O9</f>
        <v>Jesper VN </v>
      </c>
      <c r="L8" s="122">
        <f>'Samlet Stilling'!P9</f>
        <v>1.35</v>
      </c>
    </row>
    <row r="9" spans="1:12" ht="15" customHeight="1">
      <c r="A9" s="117">
        <v>8</v>
      </c>
      <c r="B9" s="118" t="str">
        <f>Point!B10</f>
        <v>Børge H</v>
      </c>
      <c r="C9" s="119">
        <f>Point!C10</f>
        <v>57</v>
      </c>
      <c r="D9" s="115"/>
      <c r="E9" s="120" t="str">
        <f>Money!B10</f>
        <v>Erik P</v>
      </c>
      <c r="F9" s="121">
        <f>Money!C10</f>
        <v>10700000</v>
      </c>
      <c r="G9" s="115"/>
      <c r="H9" s="118" t="str">
        <f>Puts!B10</f>
        <v>Carsten L</v>
      </c>
      <c r="I9" s="122">
        <f>Puts!C10</f>
        <v>32.833333333333336</v>
      </c>
      <c r="J9" s="115"/>
      <c r="K9" s="118" t="str">
        <f>'Samlet Stilling'!O10</f>
        <v>Jakob K</v>
      </c>
      <c r="L9" s="122">
        <f>'Samlet Stilling'!P10</f>
        <v>1.59</v>
      </c>
    </row>
    <row r="10" spans="1:12" ht="15" customHeight="1">
      <c r="A10" s="117">
        <v>9</v>
      </c>
      <c r="B10" s="118" t="str">
        <f>Point!B11</f>
        <v>Erik P</v>
      </c>
      <c r="C10" s="119">
        <f>Point!C11</f>
        <v>54</v>
      </c>
      <c r="D10" s="115"/>
      <c r="E10" s="120" t="str">
        <f>Money!B11</f>
        <v>Børge H</v>
      </c>
      <c r="F10" s="121">
        <f>Money!C11</f>
        <v>10070000</v>
      </c>
      <c r="G10" s="115"/>
      <c r="H10" s="118" t="str">
        <f>Puts!B11</f>
        <v>Børge H</v>
      </c>
      <c r="I10" s="122">
        <f>Puts!C11</f>
        <v>32.833333333333336</v>
      </c>
      <c r="J10" s="115"/>
      <c r="K10" s="118" t="str">
        <f>'Samlet Stilling'!O11</f>
        <v>Karsten V</v>
      </c>
      <c r="L10" s="122">
        <f>'Samlet Stilling'!P11</f>
        <v>1.77</v>
      </c>
    </row>
    <row r="11" spans="1:12" ht="15" customHeight="1">
      <c r="A11" s="117">
        <v>10</v>
      </c>
      <c r="B11" s="118" t="str">
        <f>Point!B12</f>
        <v>Torben J</v>
      </c>
      <c r="C11" s="119">
        <f>Point!C12</f>
        <v>52</v>
      </c>
      <c r="D11" s="115"/>
      <c r="E11" s="120" t="str">
        <f>Money!B12</f>
        <v>Torben J</v>
      </c>
      <c r="F11" s="121">
        <f>Money!C12</f>
        <v>9840000</v>
      </c>
      <c r="G11" s="115"/>
      <c r="H11" s="118" t="str">
        <f>Puts!B12</f>
        <v>Morten C</v>
      </c>
      <c r="I11" s="122">
        <f>Puts!C12</f>
        <v>32.94444444444444</v>
      </c>
      <c r="J11" s="115"/>
      <c r="K11" s="118" t="str">
        <f>'Samlet Stilling'!O12</f>
        <v>Carsten L</v>
      </c>
      <c r="L11" s="122">
        <f>'Samlet Stilling'!P12</f>
        <v>1.93</v>
      </c>
    </row>
    <row r="12" spans="1:12" ht="15" customHeight="1">
      <c r="A12" s="117">
        <v>11</v>
      </c>
      <c r="B12" s="118" t="str">
        <f>Point!B13</f>
        <v>Steen NP</v>
      </c>
      <c r="C12" s="119">
        <f>Point!C13</f>
        <v>49</v>
      </c>
      <c r="D12" s="115"/>
      <c r="E12" s="120" t="str">
        <f>Money!B13</f>
        <v>Thorkild J</v>
      </c>
      <c r="F12" s="121">
        <f>Money!C13</f>
        <v>9580000</v>
      </c>
      <c r="G12" s="115"/>
      <c r="H12" s="118" t="str">
        <f>Puts!B13</f>
        <v>Torben J</v>
      </c>
      <c r="I12" s="122">
        <f>Puts!C13</f>
        <v>33.166666666666664</v>
      </c>
      <c r="J12" s="115"/>
      <c r="K12" s="424" t="s">
        <v>85</v>
      </c>
      <c r="L12" s="424"/>
    </row>
    <row r="13" spans="1:12" ht="15" customHeight="1">
      <c r="A13" s="117">
        <v>12</v>
      </c>
      <c r="B13" s="118" t="str">
        <f>Point!B14</f>
        <v>Carsten D</v>
      </c>
      <c r="C13" s="119">
        <f>Point!C14</f>
        <v>48</v>
      </c>
      <c r="D13" s="115"/>
      <c r="E13" s="120" t="str">
        <f>Money!B14</f>
        <v>Jens L</v>
      </c>
      <c r="F13" s="121">
        <f>Money!C14</f>
        <v>9080000</v>
      </c>
      <c r="G13" s="115"/>
      <c r="H13" s="118" t="str">
        <f>Puts!B14</f>
        <v>John S</v>
      </c>
      <c r="I13" s="122">
        <f>Puts!C14</f>
        <v>33.72222222222222</v>
      </c>
      <c r="J13" s="115"/>
      <c r="K13" s="118" t="str">
        <f>'Samlet Stilling'!O15</f>
        <v>Robin</v>
      </c>
      <c r="L13" s="122" t="str">
        <f>'Samlet Stilling'!P15</f>
        <v>FINAL</v>
      </c>
    </row>
    <row r="14" spans="1:12" ht="15" customHeight="1">
      <c r="A14" s="117">
        <v>13</v>
      </c>
      <c r="B14" s="118" t="str">
        <f>Point!B15</f>
        <v>Thorkild J</v>
      </c>
      <c r="C14" s="119">
        <f>Point!C15</f>
        <v>47</v>
      </c>
      <c r="D14" s="115"/>
      <c r="E14" s="120" t="str">
        <f>Money!B15</f>
        <v>Steen N P</v>
      </c>
      <c r="F14" s="121">
        <f>Money!C15</f>
        <v>8950000</v>
      </c>
      <c r="G14" s="115"/>
      <c r="H14" s="118" t="str">
        <f>Puts!B15</f>
        <v>Carsten D</v>
      </c>
      <c r="I14" s="122">
        <f>Puts!C15</f>
        <v>34.27777777777778</v>
      </c>
      <c r="J14" s="115"/>
      <c r="K14" s="118" t="str">
        <f>'Samlet Stilling'!O16</f>
        <v>Carsten L</v>
      </c>
      <c r="L14" s="122" t="str">
        <f>'Samlet Stilling'!P16</f>
        <v>GCCGB</v>
      </c>
    </row>
    <row r="15" spans="1:12" ht="15" customHeight="1">
      <c r="A15" s="117">
        <v>14</v>
      </c>
      <c r="B15" s="118" t="str">
        <f>Point!B16</f>
        <v>Jens L</v>
      </c>
      <c r="C15" s="119">
        <f>Point!C16</f>
        <v>47</v>
      </c>
      <c r="D15" s="115"/>
      <c r="E15" s="120" t="str">
        <f>Money!B16</f>
        <v>Per N</v>
      </c>
      <c r="F15" s="121">
        <f>Money!C16</f>
        <v>8800000</v>
      </c>
      <c r="G15" s="115"/>
      <c r="H15" s="118" t="str">
        <f>Puts!B16</f>
        <v>Steen NP</v>
      </c>
      <c r="I15" s="122">
        <f>Puts!C16</f>
        <v>34.333333333333336</v>
      </c>
      <c r="J15" s="115"/>
      <c r="K15" s="118" t="str">
        <f>'Samlet Stilling'!O17</f>
        <v>Steen</v>
      </c>
      <c r="L15" s="122" t="str">
        <f>'Samlet Stilling'!P17</f>
        <v>SM Golf</v>
      </c>
    </row>
    <row r="16" spans="1:12" ht="15" customHeight="1">
      <c r="A16" s="117">
        <v>15</v>
      </c>
      <c r="B16" s="118" t="str">
        <f>Point!B17</f>
        <v>Per N</v>
      </c>
      <c r="C16" s="119">
        <f>Point!C17</f>
        <v>46</v>
      </c>
      <c r="D16" s="115"/>
      <c r="E16" s="120" t="str">
        <f>Money!B17</f>
        <v>Carsten D</v>
      </c>
      <c r="F16" s="121">
        <f>Money!C17</f>
        <v>8370000</v>
      </c>
      <c r="G16" s="115"/>
      <c r="H16" s="118" t="str">
        <f>Puts!B17</f>
        <v>Claus J</v>
      </c>
      <c r="I16" s="122">
        <f>Puts!C17</f>
        <v>34.5</v>
      </c>
      <c r="J16" s="115"/>
      <c r="K16" s="135"/>
      <c r="L16" s="136"/>
    </row>
    <row r="17" spans="1:12" ht="15" customHeight="1">
      <c r="A17" s="117">
        <v>16</v>
      </c>
      <c r="B17" s="118" t="str">
        <f>Point!B18</f>
        <v>Carsten L</v>
      </c>
      <c r="C17" s="119">
        <f>Point!C18</f>
        <v>42</v>
      </c>
      <c r="D17" s="115"/>
      <c r="E17" s="120" t="str">
        <f>Money!B18</f>
        <v>Carsten L</v>
      </c>
      <c r="F17" s="121">
        <f>Money!C18</f>
        <v>8320000</v>
      </c>
      <c r="G17" s="115"/>
      <c r="H17" s="118" t="str">
        <f>Puts!B18</f>
        <v>Jens L</v>
      </c>
      <c r="I17" s="122">
        <f>Puts!C18</f>
        <v>35.388888888888886</v>
      </c>
      <c r="J17" s="115"/>
      <c r="K17" s="135"/>
      <c r="L17" s="136"/>
    </row>
    <row r="18" spans="1:12" ht="15" customHeight="1">
      <c r="A18" s="117">
        <v>17</v>
      </c>
      <c r="B18" s="118" t="str">
        <f>Point!B19</f>
        <v>Bo H</v>
      </c>
      <c r="C18" s="119">
        <f>Point!C19</f>
        <v>36</v>
      </c>
      <c r="D18" s="115"/>
      <c r="E18" s="120" t="str">
        <f>Money!B19</f>
        <v>John S</v>
      </c>
      <c r="F18" s="121">
        <f>Money!C19</f>
        <v>7990000</v>
      </c>
      <c r="G18" s="115"/>
      <c r="H18" s="118" t="str">
        <f>Puts!B19</f>
        <v>Hans MV</v>
      </c>
      <c r="I18" s="122">
        <f>Puts!C19</f>
        <v>35.55555555555556</v>
      </c>
      <c r="J18" s="115"/>
      <c r="K18" s="135"/>
      <c r="L18" s="136"/>
    </row>
    <row r="19" spans="1:12" ht="15" customHeight="1">
      <c r="A19" s="117">
        <v>18</v>
      </c>
      <c r="B19" s="118" t="str">
        <f>Point!B20</f>
        <v>John S</v>
      </c>
      <c r="C19" s="119">
        <f>Point!C20</f>
        <v>36</v>
      </c>
      <c r="D19" s="115"/>
      <c r="E19" s="120" t="str">
        <f>Money!B20</f>
        <v>Bo H</v>
      </c>
      <c r="F19" s="121">
        <f>Money!C20</f>
        <v>6780000</v>
      </c>
      <c r="G19" s="115"/>
      <c r="H19" s="118" t="str">
        <f>Puts!B20</f>
        <v>Henning B</v>
      </c>
      <c r="I19" s="122">
        <f>Puts!C20</f>
        <v>35.77777777777778</v>
      </c>
      <c r="J19" s="115"/>
      <c r="K19" s="135"/>
      <c r="L19" s="136"/>
    </row>
    <row r="20" spans="1:12" ht="15" customHeight="1">
      <c r="A20" s="117">
        <v>19</v>
      </c>
      <c r="B20" s="118" t="str">
        <f>Point!B21</f>
        <v>Claus J</v>
      </c>
      <c r="C20" s="119">
        <f>Point!C21</f>
        <v>35</v>
      </c>
      <c r="D20" s="115"/>
      <c r="E20" s="120" t="str">
        <f>Money!B21</f>
        <v>Claus J</v>
      </c>
      <c r="F20" s="121">
        <f>Money!C21</f>
        <v>6610000</v>
      </c>
      <c r="G20" s="115"/>
      <c r="H20" s="118" t="str">
        <f>Puts!B21</f>
        <v>Per N</v>
      </c>
      <c r="I20" s="122">
        <f>Puts!C21</f>
        <v>36.05555555555556</v>
      </c>
      <c r="J20" s="115"/>
      <c r="K20" s="135"/>
      <c r="L20" s="136"/>
    </row>
    <row r="21" spans="1:12" ht="15" customHeight="1">
      <c r="A21" s="117">
        <v>20</v>
      </c>
      <c r="B21" s="118" t="str">
        <f>Point!B22</f>
        <v>Poul D</v>
      </c>
      <c r="C21" s="119">
        <f>Point!C22</f>
        <v>29</v>
      </c>
      <c r="D21" s="115"/>
      <c r="E21" s="120" t="str">
        <f>Money!B22</f>
        <v>Hans MV</v>
      </c>
      <c r="F21" s="121">
        <f>Money!C22</f>
        <v>5120000</v>
      </c>
      <c r="G21" s="115"/>
      <c r="H21" s="118" t="str">
        <f>Puts!B22</f>
        <v>Henning V</v>
      </c>
      <c r="I21" s="122">
        <f>Puts!C22</f>
        <v>36.833333333333336</v>
      </c>
      <c r="J21" s="115"/>
      <c r="K21" s="135"/>
      <c r="L21" s="136"/>
    </row>
    <row r="22" spans="1:12" ht="15" customHeight="1">
      <c r="A22" s="117">
        <v>21</v>
      </c>
      <c r="B22" s="118" t="str">
        <f>Point!B23</f>
        <v>Hans MV</v>
      </c>
      <c r="C22" s="119">
        <f>Point!C23</f>
        <v>25</v>
      </c>
      <c r="D22" s="115"/>
      <c r="E22" s="120" t="str">
        <f>Money!B23</f>
        <v>Poul D</v>
      </c>
      <c r="F22" s="121">
        <f>Money!C23</f>
        <v>5050000</v>
      </c>
      <c r="G22" s="115"/>
      <c r="H22" s="118" t="str">
        <f>Puts!B23</f>
        <v>Poul D</v>
      </c>
      <c r="I22" s="122">
        <f>Puts!C23</f>
        <v>37.05555555555556</v>
      </c>
      <c r="J22" s="115"/>
      <c r="K22" s="137"/>
      <c r="L22" s="138"/>
    </row>
    <row r="23" spans="1:10" ht="15" customHeight="1">
      <c r="A23" s="117">
        <v>22</v>
      </c>
      <c r="B23" s="118" t="str">
        <f>Point!B24</f>
        <v>Henning B</v>
      </c>
      <c r="C23" s="119">
        <f>Point!C24</f>
        <v>23</v>
      </c>
      <c r="D23" s="115"/>
      <c r="E23" s="120" t="str">
        <f>Money!B24</f>
        <v>Henning B</v>
      </c>
      <c r="F23" s="121">
        <f>Money!C24</f>
        <v>4400000</v>
      </c>
      <c r="G23" s="115"/>
      <c r="H23" s="118" t="str">
        <f>Puts!B24</f>
        <v>Martin A</v>
      </c>
      <c r="I23" s="122">
        <f>Puts!C24</f>
        <v>37.166666666666664</v>
      </c>
      <c r="J23" s="115"/>
    </row>
    <row r="24" spans="1:10" ht="15" customHeight="1">
      <c r="A24" s="117">
        <v>23</v>
      </c>
      <c r="B24" s="118" t="str">
        <f>Point!B25</f>
        <v>Martin A</v>
      </c>
      <c r="C24" s="119">
        <f>Point!C25</f>
        <v>9</v>
      </c>
      <c r="D24" s="115"/>
      <c r="E24" s="120" t="str">
        <f>Money!B25</f>
        <v>Henning V</v>
      </c>
      <c r="F24" s="121">
        <f>Money!C25</f>
        <v>2570000</v>
      </c>
      <c r="G24" s="115"/>
      <c r="H24" s="118" t="str">
        <f>Puts!B25</f>
        <v>Bo H</v>
      </c>
      <c r="I24" s="122">
        <f>Puts!C25</f>
        <v>37.333333333333336</v>
      </c>
      <c r="J24" s="115"/>
    </row>
    <row r="25" spans="1:10" ht="15" customHeight="1">
      <c r="A25" s="117">
        <v>24</v>
      </c>
      <c r="B25" s="118" t="str">
        <f>Point!B26</f>
        <v>Henning V</v>
      </c>
      <c r="C25" s="119">
        <f>Point!C26</f>
        <v>7</v>
      </c>
      <c r="D25" s="115"/>
      <c r="E25" s="120" t="str">
        <f>Money!B26</f>
        <v>Martin A</v>
      </c>
      <c r="F25" s="121">
        <f>Money!C26</f>
        <v>2410000</v>
      </c>
      <c r="G25" s="115"/>
      <c r="H25" s="118" t="str">
        <f>Puts!B26</f>
        <v>Thorkild J</v>
      </c>
      <c r="I25" s="122">
        <f>Puts!C26</f>
        <v>37.55555555555556</v>
      </c>
      <c r="J25" s="115"/>
    </row>
    <row r="26" spans="1:13" ht="12.75">
      <c r="A26" s="115"/>
      <c r="B26" s="115"/>
      <c r="C26" s="139"/>
      <c r="D26" s="115"/>
      <c r="E26" s="115"/>
      <c r="F26" s="140"/>
      <c r="G26" s="115"/>
      <c r="H26" s="115"/>
      <c r="I26" s="139"/>
      <c r="J26" s="115"/>
      <c r="K26" s="115"/>
      <c r="L26" s="139"/>
      <c r="M26" s="115"/>
    </row>
    <row r="27" spans="1:13" ht="12.75">
      <c r="A27" s="115"/>
      <c r="B27" s="115"/>
      <c r="C27" s="139"/>
      <c r="D27" s="115"/>
      <c r="E27" s="115"/>
      <c r="F27" s="140"/>
      <c r="G27" s="115"/>
      <c r="H27" s="115"/>
      <c r="I27" s="139"/>
      <c r="J27" s="115"/>
      <c r="K27" s="115"/>
      <c r="L27" s="139"/>
      <c r="M27" s="115"/>
    </row>
    <row r="28" spans="1:13" ht="12.75">
      <c r="A28" s="115"/>
      <c r="B28" s="115"/>
      <c r="C28" s="139"/>
      <c r="D28" s="115"/>
      <c r="E28" s="115"/>
      <c r="F28" s="140"/>
      <c r="G28" s="115"/>
      <c r="H28" s="115"/>
      <c r="I28" s="139"/>
      <c r="J28" s="115"/>
      <c r="K28" s="115"/>
      <c r="L28" s="139"/>
      <c r="M28" s="115"/>
    </row>
  </sheetData>
  <sheetProtection selectLockedCells="1" selectUnlockedCells="1"/>
  <mergeCells count="5">
    <mergeCell ref="A1:C1"/>
    <mergeCell ref="E1:F1"/>
    <mergeCell ref="H1:I1"/>
    <mergeCell ref="K1:L1"/>
    <mergeCell ref="K12:L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zoomScale="150" zoomScaleNormal="150" workbookViewId="0" topLeftCell="A1">
      <selection activeCell="E5" sqref="E5"/>
    </sheetView>
  </sheetViews>
  <sheetFormatPr defaultColWidth="9.140625" defaultRowHeight="12.75"/>
  <cols>
    <col min="1" max="1" width="25.140625" style="141" customWidth="1"/>
    <col min="2" max="2" width="7.8515625" style="142" customWidth="1"/>
    <col min="3" max="3" width="8.421875" style="143" customWidth="1"/>
    <col min="4" max="4" width="6.8515625" style="142" customWidth="1"/>
    <col min="5" max="5" width="8.140625" style="142" customWidth="1"/>
    <col min="6" max="6" width="10.140625" style="142" customWidth="1"/>
    <col min="7" max="7" width="9.140625" style="142" customWidth="1"/>
    <col min="8" max="8" width="13.421875" style="142" customWidth="1"/>
    <col min="9" max="9" width="4.8515625" style="11" customWidth="1"/>
    <col min="10" max="10" width="8.421875" style="11" customWidth="1"/>
    <col min="11" max="11" width="7.00390625" style="11" customWidth="1"/>
    <col min="12" max="12" width="7.8515625" style="11" customWidth="1"/>
    <col min="13" max="13" width="7.421875" style="11" customWidth="1"/>
    <col min="14" max="14" width="12.421875" style="11" customWidth="1"/>
    <col min="15" max="15" width="7.421875" style="11" customWidth="1"/>
    <col min="16" max="16384" width="9.140625" style="11" customWidth="1"/>
  </cols>
  <sheetData>
    <row r="1" spans="2:14" s="144" customFormat="1" ht="43.5" customHeight="1">
      <c r="B1" s="419" t="s">
        <v>86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2:17" s="144" customFormat="1" ht="29.25" customHeight="1">
      <c r="B2" s="425" t="s">
        <v>347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P2" s="200" t="s">
        <v>108</v>
      </c>
      <c r="Q2" s="200" t="s">
        <v>109</v>
      </c>
    </row>
    <row r="3" spans="1:17" s="158" customFormat="1" ht="27" customHeight="1">
      <c r="A3" s="147" t="s">
        <v>88</v>
      </c>
      <c r="B3" s="148" t="s">
        <v>89</v>
      </c>
      <c r="C3" s="148" t="s">
        <v>90</v>
      </c>
      <c r="D3" s="148" t="s">
        <v>91</v>
      </c>
      <c r="E3" s="148" t="s">
        <v>92</v>
      </c>
      <c r="F3" s="149" t="s">
        <v>93</v>
      </c>
      <c r="G3" s="150" t="s">
        <v>94</v>
      </c>
      <c r="H3" s="151" t="s">
        <v>95</v>
      </c>
      <c r="I3" s="152"/>
      <c r="J3" s="153" t="s">
        <v>93</v>
      </c>
      <c r="K3" s="154"/>
      <c r="L3" s="155"/>
      <c r="M3" s="156" t="s">
        <v>94</v>
      </c>
      <c r="N3" s="157" t="s">
        <v>96</v>
      </c>
      <c r="P3" s="202">
        <v>14</v>
      </c>
      <c r="Q3" s="146" t="s">
        <v>87</v>
      </c>
    </row>
    <row r="4" spans="1:17" s="169" customFormat="1" ht="18" customHeight="1">
      <c r="A4" s="278" t="s">
        <v>56</v>
      </c>
      <c r="B4" s="317">
        <v>13.6</v>
      </c>
      <c r="C4" s="161">
        <v>29</v>
      </c>
      <c r="D4" s="161">
        <v>30</v>
      </c>
      <c r="E4" s="162">
        <v>7.84</v>
      </c>
      <c r="F4" s="160">
        <v>1</v>
      </c>
      <c r="G4" s="160">
        <v>10</v>
      </c>
      <c r="H4" s="163">
        <f aca="true" t="shared" si="0" ref="H4:H11">N4+I4</f>
        <v>1600000</v>
      </c>
      <c r="I4" s="164">
        <f aca="true" t="shared" si="1" ref="I4:I11">IF(E4&gt;0,$N$13,0)+IF(C4&gt;0,50000,0)+IF(C12&lt;0,50000,0)</f>
        <v>350000</v>
      </c>
      <c r="J4" s="165" t="s">
        <v>97</v>
      </c>
      <c r="K4" s="166"/>
      <c r="L4" s="167"/>
      <c r="M4" s="168">
        <v>10</v>
      </c>
      <c r="N4" s="163">
        <f>N12*25%</f>
        <v>1250000</v>
      </c>
      <c r="P4" s="159">
        <v>20</v>
      </c>
      <c r="Q4" s="146">
        <f>ROUND(P4*18/P3,0)</f>
        <v>26</v>
      </c>
    </row>
    <row r="5" spans="1:17" s="169" customFormat="1" ht="18" customHeight="1">
      <c r="A5" s="261" t="s">
        <v>30</v>
      </c>
      <c r="B5" s="318">
        <v>11.1</v>
      </c>
      <c r="C5" s="160">
        <v>28</v>
      </c>
      <c r="D5" s="161">
        <v>31</v>
      </c>
      <c r="E5" s="162"/>
      <c r="F5" s="160">
        <v>2</v>
      </c>
      <c r="G5" s="160">
        <v>8</v>
      </c>
      <c r="H5" s="163">
        <f t="shared" si="0"/>
        <v>1050000</v>
      </c>
      <c r="I5" s="164">
        <f t="shared" si="1"/>
        <v>50000</v>
      </c>
      <c r="J5" s="170" t="s">
        <v>98</v>
      </c>
      <c r="K5" s="171"/>
      <c r="L5" s="172"/>
      <c r="M5" s="173">
        <v>8</v>
      </c>
      <c r="N5" s="163">
        <f>N12*20%</f>
        <v>1000000</v>
      </c>
      <c r="P5" s="159">
        <v>21</v>
      </c>
      <c r="Q5" s="146">
        <f>ROUND(P5*18/P3,0)</f>
        <v>27</v>
      </c>
    </row>
    <row r="6" spans="1:17" s="169" customFormat="1" ht="18" customHeight="1">
      <c r="A6" s="261" t="s">
        <v>38</v>
      </c>
      <c r="B6" s="318">
        <v>22.9</v>
      </c>
      <c r="C6" s="161">
        <v>28</v>
      </c>
      <c r="D6" s="161">
        <v>33</v>
      </c>
      <c r="E6" s="177"/>
      <c r="F6" s="64">
        <v>3</v>
      </c>
      <c r="G6" s="64">
        <v>6</v>
      </c>
      <c r="H6" s="163">
        <f t="shared" si="0"/>
        <v>800000</v>
      </c>
      <c r="I6" s="164">
        <f t="shared" si="1"/>
        <v>50000</v>
      </c>
      <c r="J6" s="170" t="s">
        <v>99</v>
      </c>
      <c r="K6" s="171"/>
      <c r="L6" s="172"/>
      <c r="M6" s="173">
        <v>6</v>
      </c>
      <c r="N6" s="163">
        <f>N12*15%</f>
        <v>750000</v>
      </c>
      <c r="P6" s="159">
        <v>22</v>
      </c>
      <c r="Q6" s="146">
        <f>ROUND(P6*18/P3,0)</f>
        <v>28</v>
      </c>
    </row>
    <row r="7" spans="1:17" s="169" customFormat="1" ht="18" customHeight="1">
      <c r="A7" s="261" t="s">
        <v>52</v>
      </c>
      <c r="B7" s="318">
        <v>11.5</v>
      </c>
      <c r="C7" s="160">
        <v>27</v>
      </c>
      <c r="D7" s="161">
        <v>30</v>
      </c>
      <c r="E7" s="177"/>
      <c r="F7" s="160">
        <v>4</v>
      </c>
      <c r="G7" s="160">
        <v>5</v>
      </c>
      <c r="H7" s="163">
        <f t="shared" si="0"/>
        <v>650000</v>
      </c>
      <c r="I7" s="164">
        <f t="shared" si="1"/>
        <v>50000</v>
      </c>
      <c r="J7" s="170" t="s">
        <v>100</v>
      </c>
      <c r="K7" s="171"/>
      <c r="L7" s="172"/>
      <c r="M7" s="173">
        <v>5</v>
      </c>
      <c r="N7" s="163">
        <f>N12*12%</f>
        <v>600000</v>
      </c>
      <c r="O7" s="175"/>
      <c r="P7" s="159">
        <v>23</v>
      </c>
      <c r="Q7" s="146">
        <f>ROUND(P7*18/P3,0)</f>
        <v>30</v>
      </c>
    </row>
    <row r="8" spans="1:17" s="169" customFormat="1" ht="18" customHeight="1">
      <c r="A8" s="261" t="s">
        <v>12</v>
      </c>
      <c r="B8" s="318">
        <v>13.1</v>
      </c>
      <c r="C8" s="64">
        <v>27</v>
      </c>
      <c r="D8" s="161">
        <v>32</v>
      </c>
      <c r="E8" s="162"/>
      <c r="F8" s="160">
        <v>5</v>
      </c>
      <c r="G8" s="160">
        <v>4</v>
      </c>
      <c r="H8" s="163">
        <f t="shared" si="0"/>
        <v>550000</v>
      </c>
      <c r="I8" s="164">
        <f t="shared" si="1"/>
        <v>50000</v>
      </c>
      <c r="J8" s="170" t="s">
        <v>101</v>
      </c>
      <c r="K8" s="171"/>
      <c r="L8" s="172"/>
      <c r="M8" s="173">
        <v>4</v>
      </c>
      <c r="N8" s="163">
        <f>N12*10%</f>
        <v>500000</v>
      </c>
      <c r="P8" s="159">
        <v>24</v>
      </c>
      <c r="Q8" s="146">
        <f>ROUND(P8*18/P3,0)</f>
        <v>31</v>
      </c>
    </row>
    <row r="9" spans="1:17" s="169" customFormat="1" ht="18" customHeight="1">
      <c r="A9" s="261" t="s">
        <v>36</v>
      </c>
      <c r="B9" s="318">
        <v>13.8</v>
      </c>
      <c r="C9" s="160">
        <v>27</v>
      </c>
      <c r="D9" s="161">
        <v>30</v>
      </c>
      <c r="E9" s="162"/>
      <c r="F9" s="178">
        <v>6</v>
      </c>
      <c r="G9" s="178">
        <v>3</v>
      </c>
      <c r="H9" s="163">
        <f t="shared" si="0"/>
        <v>450000</v>
      </c>
      <c r="I9" s="164">
        <f t="shared" si="1"/>
        <v>50000</v>
      </c>
      <c r="J9" s="170" t="s">
        <v>102</v>
      </c>
      <c r="K9" s="171"/>
      <c r="L9" s="172"/>
      <c r="M9" s="173">
        <v>3</v>
      </c>
      <c r="N9" s="163">
        <f>N12*8%</f>
        <v>400000</v>
      </c>
      <c r="P9" s="159">
        <v>25</v>
      </c>
      <c r="Q9" s="146">
        <f>ROUND(P9*18/P3,0)</f>
        <v>32</v>
      </c>
    </row>
    <row r="10" spans="1:17" s="169" customFormat="1" ht="18" customHeight="1">
      <c r="A10" s="261" t="s">
        <v>44</v>
      </c>
      <c r="B10" s="318">
        <v>18</v>
      </c>
      <c r="C10" s="160">
        <v>25</v>
      </c>
      <c r="D10" s="161">
        <v>39</v>
      </c>
      <c r="E10" s="162"/>
      <c r="F10" s="160">
        <v>7</v>
      </c>
      <c r="G10" s="160">
        <v>2</v>
      </c>
      <c r="H10" s="163">
        <f t="shared" si="0"/>
        <v>350000</v>
      </c>
      <c r="I10" s="164">
        <f t="shared" si="1"/>
        <v>50000</v>
      </c>
      <c r="J10" s="170" t="s">
        <v>103</v>
      </c>
      <c r="K10" s="171"/>
      <c r="L10" s="172"/>
      <c r="M10" s="173">
        <v>2</v>
      </c>
      <c r="N10" s="163">
        <f>N12*6%</f>
        <v>300000</v>
      </c>
      <c r="P10" s="159">
        <v>26</v>
      </c>
      <c r="Q10" s="146">
        <f>ROUND(P10*18/P3,0)</f>
        <v>33</v>
      </c>
    </row>
    <row r="11" spans="1:17" s="169" customFormat="1" ht="18" customHeight="1">
      <c r="A11" s="261" t="s">
        <v>48</v>
      </c>
      <c r="B11" s="318">
        <v>18</v>
      </c>
      <c r="C11" s="161">
        <v>25</v>
      </c>
      <c r="D11" s="161">
        <v>33</v>
      </c>
      <c r="E11" s="162"/>
      <c r="F11" s="160">
        <v>8</v>
      </c>
      <c r="G11" s="160">
        <v>1</v>
      </c>
      <c r="H11" s="163">
        <f t="shared" si="0"/>
        <v>250000</v>
      </c>
      <c r="I11" s="164">
        <f t="shared" si="1"/>
        <v>50000</v>
      </c>
      <c r="J11" s="170" t="s">
        <v>104</v>
      </c>
      <c r="K11" s="171"/>
      <c r="L11" s="172"/>
      <c r="M11" s="173">
        <v>1</v>
      </c>
      <c r="N11" s="163">
        <f>N12*4%</f>
        <v>200000</v>
      </c>
      <c r="P11" s="159">
        <v>27</v>
      </c>
      <c r="Q11" s="146">
        <f>ROUND(P11*18/P3,0)</f>
        <v>35</v>
      </c>
    </row>
    <row r="12" spans="1:17" s="169" customFormat="1" ht="18" customHeight="1">
      <c r="A12" s="261" t="s">
        <v>50</v>
      </c>
      <c r="B12" s="318">
        <v>6.9</v>
      </c>
      <c r="C12" s="161">
        <v>24</v>
      </c>
      <c r="D12" s="161">
        <v>32</v>
      </c>
      <c r="E12" s="162"/>
      <c r="F12" s="160"/>
      <c r="G12" s="160"/>
      <c r="H12" s="163">
        <f aca="true" t="shared" si="2" ref="H12:H27">I12</f>
        <v>50000</v>
      </c>
      <c r="I12" s="164">
        <f aca="true" t="shared" si="3" ref="I12:I27">IF(E12&gt;0,$N$13,0)+IF(C12&gt;0,50000,0)+IF(C12&lt;0,50000,0)</f>
        <v>50000</v>
      </c>
      <c r="J12" s="179" t="s">
        <v>105</v>
      </c>
      <c r="K12" s="171"/>
      <c r="L12" s="172"/>
      <c r="M12" s="173"/>
      <c r="N12" s="180">
        <v>5000000</v>
      </c>
      <c r="P12" s="159">
        <v>28</v>
      </c>
      <c r="Q12" s="146">
        <f>ROUND(P12*18/P3,0)</f>
        <v>36</v>
      </c>
    </row>
    <row r="13" spans="1:17" s="169" customFormat="1" ht="18" customHeight="1">
      <c r="A13" s="261" t="s">
        <v>20</v>
      </c>
      <c r="B13" s="318">
        <v>14.1</v>
      </c>
      <c r="C13" s="160">
        <v>24</v>
      </c>
      <c r="D13" s="161">
        <v>35</v>
      </c>
      <c r="E13" s="177"/>
      <c r="F13" s="160"/>
      <c r="G13" s="160"/>
      <c r="H13" s="163">
        <f t="shared" si="2"/>
        <v>50000</v>
      </c>
      <c r="I13" s="164">
        <f t="shared" si="3"/>
        <v>50000</v>
      </c>
      <c r="J13" s="182" t="s">
        <v>106</v>
      </c>
      <c r="K13" s="183"/>
      <c r="L13" s="184"/>
      <c r="M13" s="185">
        <v>1</v>
      </c>
      <c r="N13" s="186">
        <f>N10</f>
        <v>300000</v>
      </c>
      <c r="P13" s="159">
        <v>29</v>
      </c>
      <c r="Q13" s="146">
        <f>ROUND(P13*18/P3,0)</f>
        <v>37</v>
      </c>
    </row>
    <row r="14" spans="1:17" s="169" customFormat="1" ht="18" customHeight="1">
      <c r="A14" s="261" t="s">
        <v>40</v>
      </c>
      <c r="B14" s="318">
        <v>14.2</v>
      </c>
      <c r="C14" s="160">
        <v>23</v>
      </c>
      <c r="D14" s="161">
        <v>40</v>
      </c>
      <c r="E14" s="162"/>
      <c r="F14" s="160"/>
      <c r="G14" s="160"/>
      <c r="H14" s="163">
        <f t="shared" si="2"/>
        <v>50000</v>
      </c>
      <c r="I14" s="164">
        <f t="shared" si="3"/>
        <v>50000</v>
      </c>
      <c r="J14" s="187"/>
      <c r="K14" s="183"/>
      <c r="L14" s="183"/>
      <c r="M14" s="188"/>
      <c r="N14" s="189"/>
      <c r="P14" s="159">
        <v>30</v>
      </c>
      <c r="Q14" s="146">
        <f>ROUND(P14*18/P3,0)</f>
        <v>39</v>
      </c>
    </row>
    <row r="15" spans="1:17" s="169" customFormat="1" ht="18" customHeight="1">
      <c r="A15" s="261" t="s">
        <v>24</v>
      </c>
      <c r="B15" s="318">
        <v>15.4</v>
      </c>
      <c r="C15" s="160">
        <v>22</v>
      </c>
      <c r="D15" s="161">
        <v>35</v>
      </c>
      <c r="E15" s="177"/>
      <c r="F15" s="160"/>
      <c r="G15" s="160"/>
      <c r="H15" s="163">
        <f t="shared" si="2"/>
        <v>50000</v>
      </c>
      <c r="I15" s="164">
        <f t="shared" si="3"/>
        <v>50000</v>
      </c>
      <c r="J15" s="190"/>
      <c r="K15" s="191"/>
      <c r="L15" s="191"/>
      <c r="M15" s="192"/>
      <c r="N15" s="193"/>
      <c r="P15" s="159">
        <v>31</v>
      </c>
      <c r="Q15" s="146">
        <f>ROUND(P15*18/P3,0)</f>
        <v>40</v>
      </c>
    </row>
    <row r="16" spans="1:17" s="169" customFormat="1" ht="18" customHeight="1">
      <c r="A16" s="261" t="s">
        <v>32</v>
      </c>
      <c r="B16" s="318">
        <v>12.4</v>
      </c>
      <c r="C16" s="160">
        <v>21</v>
      </c>
      <c r="D16" s="161">
        <v>40</v>
      </c>
      <c r="E16" s="162"/>
      <c r="F16" s="64"/>
      <c r="G16" s="64"/>
      <c r="H16" s="163">
        <f t="shared" si="2"/>
        <v>50000</v>
      </c>
      <c r="I16" s="164">
        <f t="shared" si="3"/>
        <v>50000</v>
      </c>
      <c r="P16" s="159">
        <v>32</v>
      </c>
      <c r="Q16" s="146">
        <f>ROUND(P16*18/P3,0)</f>
        <v>41</v>
      </c>
    </row>
    <row r="17" spans="1:17" s="169" customFormat="1" ht="18" customHeight="1">
      <c r="A17" s="261" t="s">
        <v>46</v>
      </c>
      <c r="B17" s="318">
        <v>13</v>
      </c>
      <c r="C17" s="160">
        <v>21</v>
      </c>
      <c r="D17" s="161">
        <v>28</v>
      </c>
      <c r="E17" s="177"/>
      <c r="F17" s="64"/>
      <c r="G17" s="64"/>
      <c r="H17" s="163">
        <f t="shared" si="2"/>
        <v>50000</v>
      </c>
      <c r="I17" s="164">
        <f t="shared" si="3"/>
        <v>50000</v>
      </c>
      <c r="O17" s="175"/>
      <c r="P17" s="159">
        <v>33</v>
      </c>
      <c r="Q17" s="146">
        <f>ROUND(P17*18/P3,0)</f>
        <v>42</v>
      </c>
    </row>
    <row r="18" spans="1:17" s="169" customFormat="1" ht="18" customHeight="1">
      <c r="A18" s="261"/>
      <c r="B18" s="318"/>
      <c r="C18" s="160"/>
      <c r="D18" s="161"/>
      <c r="E18" s="162"/>
      <c r="F18" s="160"/>
      <c r="G18" s="160"/>
      <c r="H18" s="163">
        <f t="shared" si="2"/>
        <v>0</v>
      </c>
      <c r="I18" s="164">
        <f t="shared" si="3"/>
        <v>0</v>
      </c>
      <c r="J18" s="11"/>
      <c r="K18" s="11"/>
      <c r="L18" s="11"/>
      <c r="M18" s="11"/>
      <c r="N18" s="11"/>
      <c r="O18" s="176"/>
      <c r="P18" s="159">
        <v>34</v>
      </c>
      <c r="Q18" s="146">
        <f>ROUND(P18*18/P3,0)</f>
        <v>44</v>
      </c>
    </row>
    <row r="19" spans="1:17" s="169" customFormat="1" ht="18" customHeight="1">
      <c r="A19" s="261"/>
      <c r="B19" s="318"/>
      <c r="C19" s="160"/>
      <c r="D19" s="161"/>
      <c r="E19" s="177"/>
      <c r="F19" s="160"/>
      <c r="G19" s="160"/>
      <c r="H19" s="163">
        <f t="shared" si="2"/>
        <v>0</v>
      </c>
      <c r="I19" s="164">
        <f t="shared" si="3"/>
        <v>0</v>
      </c>
      <c r="J19" s="11"/>
      <c r="K19" s="11"/>
      <c r="L19" s="11"/>
      <c r="M19" s="11"/>
      <c r="N19" s="11"/>
      <c r="O19" s="176"/>
      <c r="P19" s="159">
        <v>35</v>
      </c>
      <c r="Q19" s="146">
        <f>ROUND(P19*18/P3,0)</f>
        <v>45</v>
      </c>
    </row>
    <row r="20" spans="1:17" s="144" customFormat="1" ht="18" customHeight="1">
      <c r="A20" s="261"/>
      <c r="B20" s="318"/>
      <c r="C20" s="161"/>
      <c r="D20" s="161"/>
      <c r="E20" s="162"/>
      <c r="F20" s="64"/>
      <c r="G20" s="64"/>
      <c r="H20" s="163">
        <f t="shared" si="2"/>
        <v>0</v>
      </c>
      <c r="I20" s="164">
        <f t="shared" si="3"/>
        <v>0</v>
      </c>
      <c r="J20" s="11"/>
      <c r="K20" s="11"/>
      <c r="L20" s="11"/>
      <c r="M20" s="11"/>
      <c r="N20" s="11"/>
      <c r="P20" s="159">
        <v>36</v>
      </c>
      <c r="Q20" s="146">
        <f>ROUND(P20*18/P3,0)</f>
        <v>46</v>
      </c>
    </row>
    <row r="21" spans="1:17" s="144" customFormat="1" ht="18" customHeight="1">
      <c r="A21" s="261"/>
      <c r="B21" s="318"/>
      <c r="C21" s="160"/>
      <c r="D21" s="161"/>
      <c r="E21" s="162"/>
      <c r="F21" s="64"/>
      <c r="G21" s="64"/>
      <c r="H21" s="163">
        <f t="shared" si="2"/>
        <v>0</v>
      </c>
      <c r="I21" s="164">
        <f t="shared" si="3"/>
        <v>0</v>
      </c>
      <c r="J21" s="11"/>
      <c r="K21" s="11"/>
      <c r="L21" s="11"/>
      <c r="M21" s="11"/>
      <c r="N21" s="11"/>
      <c r="P21" s="159">
        <v>37</v>
      </c>
      <c r="Q21" s="146">
        <f>ROUND(P21*18/P3,0)</f>
        <v>48</v>
      </c>
    </row>
    <row r="22" spans="1:17" s="144" customFormat="1" ht="18" customHeight="1">
      <c r="A22" s="261"/>
      <c r="B22" s="318"/>
      <c r="C22" s="181"/>
      <c r="D22" s="161"/>
      <c r="E22" s="162"/>
      <c r="F22" s="64"/>
      <c r="G22" s="64"/>
      <c r="H22" s="163">
        <f t="shared" si="2"/>
        <v>0</v>
      </c>
      <c r="I22" s="164">
        <f t="shared" si="3"/>
        <v>0</v>
      </c>
      <c r="J22" s="11"/>
      <c r="K22" s="11"/>
      <c r="L22" s="11"/>
      <c r="M22" s="11"/>
      <c r="N22" s="11"/>
      <c r="P22" s="159">
        <v>38</v>
      </c>
      <c r="Q22" s="146">
        <f>ROUND(P22*18/P3,0)</f>
        <v>49</v>
      </c>
    </row>
    <row r="23" spans="1:17" s="144" customFormat="1" ht="18" customHeight="1">
      <c r="A23" s="261"/>
      <c r="B23" s="318"/>
      <c r="C23" s="160"/>
      <c r="D23" s="161"/>
      <c r="E23" s="162"/>
      <c r="F23" s="64"/>
      <c r="G23" s="64"/>
      <c r="H23" s="163">
        <f t="shared" si="2"/>
        <v>0</v>
      </c>
      <c r="I23" s="164">
        <f t="shared" si="3"/>
        <v>0</v>
      </c>
      <c r="J23" s="11"/>
      <c r="K23" s="11"/>
      <c r="L23" s="11"/>
      <c r="M23" s="11"/>
      <c r="N23" s="11"/>
      <c r="P23" s="159">
        <v>39</v>
      </c>
      <c r="Q23" s="146">
        <f>ROUND(P23*18/P3,0)</f>
        <v>50</v>
      </c>
    </row>
    <row r="24" spans="1:17" s="144" customFormat="1" ht="18" customHeight="1">
      <c r="A24" s="261"/>
      <c r="B24" s="318"/>
      <c r="C24" s="160"/>
      <c r="D24" s="161"/>
      <c r="E24" s="162"/>
      <c r="F24" s="64"/>
      <c r="G24" s="64"/>
      <c r="H24" s="163">
        <f t="shared" si="2"/>
        <v>0</v>
      </c>
      <c r="I24" s="164">
        <f t="shared" si="3"/>
        <v>0</v>
      </c>
      <c r="J24" s="11"/>
      <c r="K24" s="11"/>
      <c r="L24" s="11"/>
      <c r="M24" s="11"/>
      <c r="N24" s="11"/>
      <c r="P24" s="159">
        <v>40</v>
      </c>
      <c r="Q24" s="146">
        <f>ROUND(P24*18/P3,0)</f>
        <v>51</v>
      </c>
    </row>
    <row r="25" spans="1:14" s="144" customFormat="1" ht="18" customHeight="1">
      <c r="A25" s="261"/>
      <c r="B25" s="318"/>
      <c r="C25" s="160"/>
      <c r="D25" s="161"/>
      <c r="E25" s="177"/>
      <c r="F25" s="64"/>
      <c r="G25" s="64"/>
      <c r="H25" s="163">
        <f t="shared" si="2"/>
        <v>0</v>
      </c>
      <c r="I25" s="164">
        <f t="shared" si="3"/>
        <v>0</v>
      </c>
      <c r="J25" s="11"/>
      <c r="K25" s="11"/>
      <c r="L25" s="11"/>
      <c r="M25" s="11"/>
      <c r="N25" s="11"/>
    </row>
    <row r="26" spans="1:14" s="144" customFormat="1" ht="18" customHeight="1">
      <c r="A26" s="261"/>
      <c r="B26" s="318"/>
      <c r="C26" s="160"/>
      <c r="D26" s="161"/>
      <c r="E26" s="162"/>
      <c r="F26" s="160"/>
      <c r="G26" s="160"/>
      <c r="H26" s="163">
        <f t="shared" si="2"/>
        <v>0</v>
      </c>
      <c r="I26" s="164">
        <f t="shared" si="3"/>
        <v>0</v>
      </c>
      <c r="J26" s="11"/>
      <c r="K26" s="11"/>
      <c r="L26" s="11"/>
      <c r="M26" s="11"/>
      <c r="N26" s="11"/>
    </row>
    <row r="27" spans="1:14" s="144" customFormat="1" ht="18" customHeight="1">
      <c r="A27" s="261"/>
      <c r="B27" s="318"/>
      <c r="C27" s="161"/>
      <c r="D27" s="194"/>
      <c r="E27" s="177"/>
      <c r="F27" s="160"/>
      <c r="G27" s="160"/>
      <c r="H27" s="163">
        <f t="shared" si="2"/>
        <v>0</v>
      </c>
      <c r="I27" s="164">
        <f t="shared" si="3"/>
        <v>0</v>
      </c>
      <c r="J27" s="11"/>
      <c r="K27" s="11"/>
      <c r="L27" s="11"/>
      <c r="M27" s="11"/>
      <c r="N27" s="11"/>
    </row>
    <row r="28" spans="1:9" ht="24" customHeight="1">
      <c r="A28" s="1"/>
      <c r="B28" s="3"/>
      <c r="C28" s="196"/>
      <c r="D28" s="197">
        <f>SUM(D4:D27)</f>
        <v>468</v>
      </c>
      <c r="E28" s="196"/>
      <c r="F28" s="3"/>
      <c r="G28" s="198">
        <f>SUM(G4:G27)</f>
        <v>39</v>
      </c>
      <c r="H28" s="198">
        <f>SUM(H4:H27)</f>
        <v>6000000</v>
      </c>
      <c r="I28" s="19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000000000000005" right="0.43000000000000005" top="0.55" bottom="0.55" header="0.51" footer="0.51"/>
  <pageSetup fitToHeight="1" fitToWidth="1" horizontalDpi="300" verticalDpi="300" orientation="landscape" paperSize="9" scale="78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workbookViewId="0" topLeftCell="A1">
      <selection activeCell="F4" sqref="F4:H27"/>
    </sheetView>
  </sheetViews>
  <sheetFormatPr defaultColWidth="9.140625" defaultRowHeight="12.75"/>
  <cols>
    <col min="1" max="1" width="25.140625" style="141" customWidth="1"/>
    <col min="2" max="2" width="7.8515625" style="142" customWidth="1"/>
    <col min="3" max="3" width="8.421875" style="143" customWidth="1"/>
    <col min="4" max="4" width="6.8515625" style="142" customWidth="1"/>
    <col min="5" max="5" width="8.140625" style="142" customWidth="1"/>
    <col min="6" max="6" width="10.140625" style="142" customWidth="1"/>
    <col min="7" max="7" width="9.140625" style="142" customWidth="1"/>
    <col min="8" max="8" width="13.421875" style="142" customWidth="1"/>
    <col min="9" max="9" width="4.8515625" style="11" customWidth="1"/>
    <col min="10" max="10" width="8.421875" style="11" customWidth="1"/>
    <col min="11" max="11" width="7.00390625" style="11" customWidth="1"/>
    <col min="12" max="12" width="7.8515625" style="11" customWidth="1"/>
    <col min="13" max="13" width="7.421875" style="11" customWidth="1"/>
    <col min="14" max="14" width="12.421875" style="11" customWidth="1"/>
    <col min="15" max="15" width="7.421875" style="11" customWidth="1"/>
    <col min="16" max="16" width="9.140625" style="11" customWidth="1"/>
    <col min="17" max="17" width="10.421875" style="11" customWidth="1"/>
    <col min="18" max="16384" width="9.140625" style="11" customWidth="1"/>
  </cols>
  <sheetData>
    <row r="1" spans="2:14" s="144" customFormat="1" ht="43.5" customHeight="1">
      <c r="B1" s="419" t="s">
        <v>194</v>
      </c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  <c r="N1" s="419"/>
    </row>
    <row r="2" spans="2:17" s="144" customFormat="1" ht="29.25" customHeight="1">
      <c r="B2" s="425" t="s">
        <v>346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P2" s="200" t="s">
        <v>108</v>
      </c>
      <c r="Q2" s="200" t="s">
        <v>109</v>
      </c>
    </row>
    <row r="3" spans="1:17" s="158" customFormat="1" ht="27" customHeight="1">
      <c r="A3" s="147" t="s">
        <v>88</v>
      </c>
      <c r="B3" s="148" t="s">
        <v>89</v>
      </c>
      <c r="C3" s="148" t="s">
        <v>90</v>
      </c>
      <c r="D3" s="148" t="s">
        <v>91</v>
      </c>
      <c r="E3" s="148" t="s">
        <v>92</v>
      </c>
      <c r="F3" s="149" t="s">
        <v>93</v>
      </c>
      <c r="G3" s="150" t="s">
        <v>94</v>
      </c>
      <c r="H3" s="151" t="s">
        <v>95</v>
      </c>
      <c r="I3" s="152"/>
      <c r="J3" s="153" t="s">
        <v>93</v>
      </c>
      <c r="K3" s="154"/>
      <c r="L3" s="155"/>
      <c r="M3" s="156" t="s">
        <v>94</v>
      </c>
      <c r="N3" s="157" t="s">
        <v>96</v>
      </c>
      <c r="P3" s="202">
        <v>13</v>
      </c>
      <c r="Q3" s="146" t="s">
        <v>87</v>
      </c>
    </row>
    <row r="4" spans="1:17" s="169" customFormat="1" ht="18" customHeight="1">
      <c r="A4" s="278" t="s">
        <v>14</v>
      </c>
      <c r="B4" s="317">
        <v>18.5</v>
      </c>
      <c r="C4" s="160">
        <v>32</v>
      </c>
      <c r="D4" s="161">
        <v>28</v>
      </c>
      <c r="E4" s="162"/>
      <c r="F4" s="160">
        <v>1</v>
      </c>
      <c r="G4" s="160">
        <v>10</v>
      </c>
      <c r="H4" s="163">
        <f aca="true" t="shared" si="0" ref="H4:H11">N4+I4</f>
        <v>1300000</v>
      </c>
      <c r="I4" s="164">
        <f aca="true" t="shared" si="1" ref="I4:I11">IF(E4&gt;0,$N$13,0)+IF(C4&gt;0,50000,0)+IF(C12&lt;0,50000,0)</f>
        <v>50000</v>
      </c>
      <c r="J4" s="165" t="s">
        <v>97</v>
      </c>
      <c r="K4" s="166"/>
      <c r="L4" s="167"/>
      <c r="M4" s="168">
        <v>10</v>
      </c>
      <c r="N4" s="163">
        <f>N12*25%</f>
        <v>1250000</v>
      </c>
      <c r="P4" s="159">
        <v>20</v>
      </c>
      <c r="Q4" s="146">
        <f>ROUND(P4*18/P3,0)</f>
        <v>28</v>
      </c>
    </row>
    <row r="5" spans="1:17" s="169" customFormat="1" ht="18" customHeight="1">
      <c r="A5" s="261" t="s">
        <v>12</v>
      </c>
      <c r="B5" s="318">
        <v>12.9</v>
      </c>
      <c r="C5" s="161">
        <v>28</v>
      </c>
      <c r="D5" s="161">
        <v>30</v>
      </c>
      <c r="E5" s="162"/>
      <c r="F5" s="160">
        <v>2</v>
      </c>
      <c r="G5" s="160">
        <v>8</v>
      </c>
      <c r="H5" s="163">
        <f t="shared" si="0"/>
        <v>1050000</v>
      </c>
      <c r="I5" s="164">
        <f>IF(E5&gt;0,$N$13,0)+IF(C5&gt;0,50000,0)+IF(C13&lt;0,50000,0)</f>
        <v>50000</v>
      </c>
      <c r="J5" s="170" t="s">
        <v>98</v>
      </c>
      <c r="K5" s="171"/>
      <c r="L5" s="172"/>
      <c r="M5" s="173">
        <v>8</v>
      </c>
      <c r="N5" s="163">
        <f>N12*20%</f>
        <v>1000000</v>
      </c>
      <c r="P5" s="159">
        <v>21</v>
      </c>
      <c r="Q5" s="146">
        <f>ROUND(P5*18/P3,0)</f>
        <v>29</v>
      </c>
    </row>
    <row r="6" spans="1:17" s="169" customFormat="1" ht="18" customHeight="1">
      <c r="A6" s="261" t="s">
        <v>32</v>
      </c>
      <c r="B6" s="318">
        <v>12.5</v>
      </c>
      <c r="C6" s="160">
        <v>25</v>
      </c>
      <c r="D6" s="161">
        <v>35</v>
      </c>
      <c r="E6" s="162"/>
      <c r="F6" s="64">
        <v>3</v>
      </c>
      <c r="G6" s="64">
        <v>6</v>
      </c>
      <c r="H6" s="163">
        <f t="shared" si="0"/>
        <v>800000</v>
      </c>
      <c r="I6" s="164">
        <f>IF(E6&gt;0,$N$13,0)+IF(C6&gt;0,50000,0)+IF(C14&lt;0,50000,0)</f>
        <v>50000</v>
      </c>
      <c r="J6" s="170" t="s">
        <v>99</v>
      </c>
      <c r="K6" s="171"/>
      <c r="L6" s="172"/>
      <c r="M6" s="173">
        <v>6</v>
      </c>
      <c r="N6" s="163">
        <f>N12*15%</f>
        <v>750000</v>
      </c>
      <c r="P6" s="159">
        <v>22</v>
      </c>
      <c r="Q6" s="146">
        <f>ROUND(P6*18/P3,0)</f>
        <v>30</v>
      </c>
    </row>
    <row r="7" spans="1:17" s="169" customFormat="1" ht="18" customHeight="1">
      <c r="A7" s="261" t="s">
        <v>18</v>
      </c>
      <c r="B7" s="318">
        <v>18.6</v>
      </c>
      <c r="C7" s="160">
        <v>25</v>
      </c>
      <c r="D7" s="161">
        <v>37</v>
      </c>
      <c r="E7" s="177"/>
      <c r="F7" s="160">
        <v>4</v>
      </c>
      <c r="G7" s="160">
        <v>5</v>
      </c>
      <c r="H7" s="163">
        <f t="shared" si="0"/>
        <v>650000</v>
      </c>
      <c r="I7" s="164">
        <f t="shared" si="1"/>
        <v>50000</v>
      </c>
      <c r="J7" s="170" t="s">
        <v>100</v>
      </c>
      <c r="K7" s="171"/>
      <c r="L7" s="172"/>
      <c r="M7" s="173">
        <v>5</v>
      </c>
      <c r="N7" s="163">
        <f>N12*12%</f>
        <v>600000</v>
      </c>
      <c r="O7" s="175"/>
      <c r="P7" s="159">
        <v>23</v>
      </c>
      <c r="Q7" s="146">
        <f>ROUND(P7*18/P3,0)</f>
        <v>32</v>
      </c>
    </row>
    <row r="8" spans="1:17" s="169" customFormat="1" ht="18" customHeight="1">
      <c r="A8" s="261" t="s">
        <v>38</v>
      </c>
      <c r="B8" s="318">
        <v>22.8</v>
      </c>
      <c r="C8" s="160">
        <v>25</v>
      </c>
      <c r="D8" s="161">
        <v>30</v>
      </c>
      <c r="E8" s="162">
        <v>5.34</v>
      </c>
      <c r="F8" s="160">
        <v>5</v>
      </c>
      <c r="G8" s="160">
        <v>4</v>
      </c>
      <c r="H8" s="163">
        <f t="shared" si="0"/>
        <v>850000</v>
      </c>
      <c r="I8" s="164">
        <f t="shared" si="1"/>
        <v>350000</v>
      </c>
      <c r="J8" s="170" t="s">
        <v>101</v>
      </c>
      <c r="K8" s="171"/>
      <c r="L8" s="172"/>
      <c r="M8" s="173">
        <v>4</v>
      </c>
      <c r="N8" s="163">
        <f>N12*10%</f>
        <v>500000</v>
      </c>
      <c r="P8" s="159">
        <v>24</v>
      </c>
      <c r="Q8" s="146">
        <f>ROUND(P8*18/P3,0)</f>
        <v>33</v>
      </c>
    </row>
    <row r="9" spans="1:17" s="169" customFormat="1" ht="18" customHeight="1">
      <c r="A9" s="261" t="s">
        <v>24</v>
      </c>
      <c r="B9" s="318">
        <v>15.3</v>
      </c>
      <c r="C9" s="181">
        <v>24</v>
      </c>
      <c r="D9" s="161">
        <v>35</v>
      </c>
      <c r="E9" s="162"/>
      <c r="F9" s="178">
        <v>6</v>
      </c>
      <c r="G9" s="178">
        <v>3</v>
      </c>
      <c r="H9" s="163">
        <f t="shared" si="0"/>
        <v>450000</v>
      </c>
      <c r="I9" s="164">
        <f t="shared" si="1"/>
        <v>50000</v>
      </c>
      <c r="J9" s="170" t="s">
        <v>102</v>
      </c>
      <c r="K9" s="171"/>
      <c r="L9" s="172"/>
      <c r="M9" s="173">
        <v>3</v>
      </c>
      <c r="N9" s="163">
        <f>N12*8%</f>
        <v>400000</v>
      </c>
      <c r="P9" s="159">
        <v>25</v>
      </c>
      <c r="Q9" s="146">
        <f>ROUND(P9*18/P3,0)</f>
        <v>35</v>
      </c>
    </row>
    <row r="10" spans="1:17" s="169" customFormat="1" ht="18" customHeight="1">
      <c r="A10" s="261" t="s">
        <v>16</v>
      </c>
      <c r="B10" s="318">
        <v>10.1</v>
      </c>
      <c r="C10" s="160">
        <v>23</v>
      </c>
      <c r="D10" s="161">
        <v>30</v>
      </c>
      <c r="E10" s="162"/>
      <c r="F10" s="160">
        <v>7</v>
      </c>
      <c r="G10" s="160">
        <v>2</v>
      </c>
      <c r="H10" s="163">
        <f t="shared" si="0"/>
        <v>350000</v>
      </c>
      <c r="I10" s="164">
        <f t="shared" si="1"/>
        <v>50000</v>
      </c>
      <c r="J10" s="170" t="s">
        <v>103</v>
      </c>
      <c r="K10" s="171"/>
      <c r="L10" s="172"/>
      <c r="M10" s="173">
        <v>2</v>
      </c>
      <c r="N10" s="163">
        <f>N12*6%</f>
        <v>300000</v>
      </c>
      <c r="P10" s="159">
        <v>26</v>
      </c>
      <c r="Q10" s="146">
        <f>ROUND(P10*18/P3,0)</f>
        <v>36</v>
      </c>
    </row>
    <row r="11" spans="1:17" s="169" customFormat="1" ht="18" customHeight="1">
      <c r="A11" s="261" t="s">
        <v>20</v>
      </c>
      <c r="B11" s="318">
        <v>14.1</v>
      </c>
      <c r="C11" s="160">
        <v>23</v>
      </c>
      <c r="D11" s="161">
        <v>32</v>
      </c>
      <c r="E11" s="162"/>
      <c r="F11" s="160">
        <v>8</v>
      </c>
      <c r="G11" s="160">
        <v>1</v>
      </c>
      <c r="H11" s="163">
        <f t="shared" si="0"/>
        <v>250000</v>
      </c>
      <c r="I11" s="164">
        <f t="shared" si="1"/>
        <v>50000</v>
      </c>
      <c r="J11" s="170" t="s">
        <v>104</v>
      </c>
      <c r="K11" s="171"/>
      <c r="L11" s="172"/>
      <c r="M11" s="173">
        <v>1</v>
      </c>
      <c r="N11" s="163">
        <f>N12*4%</f>
        <v>200000</v>
      </c>
      <c r="P11" s="159">
        <v>27</v>
      </c>
      <c r="Q11" s="146">
        <f>ROUND(P11*18/P3,0)</f>
        <v>37</v>
      </c>
    </row>
    <row r="12" spans="1:17" s="169" customFormat="1" ht="18" customHeight="1">
      <c r="A12" s="261" t="s">
        <v>50</v>
      </c>
      <c r="B12" s="318">
        <v>7.7</v>
      </c>
      <c r="C12" s="160">
        <v>22</v>
      </c>
      <c r="D12" s="161">
        <v>30</v>
      </c>
      <c r="E12" s="177"/>
      <c r="F12" s="160"/>
      <c r="G12" s="160"/>
      <c r="H12" s="163">
        <f aca="true" t="shared" si="2" ref="H12:H27">I12</f>
        <v>50000</v>
      </c>
      <c r="I12" s="164">
        <f aca="true" t="shared" si="3" ref="I12:I27">IF(E12&gt;0,$N$13,0)+IF(C12&gt;0,50000,0)+IF(C12&lt;0,50000,0)</f>
        <v>50000</v>
      </c>
      <c r="J12" s="179" t="s">
        <v>105</v>
      </c>
      <c r="K12" s="171"/>
      <c r="L12" s="172"/>
      <c r="M12" s="173"/>
      <c r="N12" s="180">
        <v>5000000</v>
      </c>
      <c r="P12" s="159">
        <v>28</v>
      </c>
      <c r="Q12" s="146">
        <f>ROUND(P12*18/P3,0)</f>
        <v>39</v>
      </c>
    </row>
    <row r="13" spans="1:17" s="169" customFormat="1" ht="18" customHeight="1">
      <c r="A13" s="261" t="s">
        <v>44</v>
      </c>
      <c r="B13" s="318">
        <v>18</v>
      </c>
      <c r="C13" s="160">
        <v>22</v>
      </c>
      <c r="D13" s="161">
        <v>35</v>
      </c>
      <c r="E13" s="162"/>
      <c r="F13" s="160"/>
      <c r="G13" s="160"/>
      <c r="H13" s="163">
        <f t="shared" si="2"/>
        <v>50000</v>
      </c>
      <c r="I13" s="164">
        <f t="shared" si="3"/>
        <v>50000</v>
      </c>
      <c r="J13" s="182" t="s">
        <v>106</v>
      </c>
      <c r="K13" s="183"/>
      <c r="L13" s="184"/>
      <c r="M13" s="185">
        <v>1</v>
      </c>
      <c r="N13" s="186">
        <f>N10</f>
        <v>300000</v>
      </c>
      <c r="P13" s="159">
        <v>29</v>
      </c>
      <c r="Q13" s="146">
        <f>ROUND(P13*18/P3,0)</f>
        <v>40</v>
      </c>
    </row>
    <row r="14" spans="1:17" s="169" customFormat="1" ht="18" customHeight="1">
      <c r="A14" s="261" t="s">
        <v>48</v>
      </c>
      <c r="B14" s="318">
        <v>17.9</v>
      </c>
      <c r="C14" s="160">
        <v>18</v>
      </c>
      <c r="D14" s="161">
        <v>42</v>
      </c>
      <c r="E14" s="162"/>
      <c r="F14" s="160"/>
      <c r="G14" s="160"/>
      <c r="H14" s="163">
        <f t="shared" si="2"/>
        <v>50000</v>
      </c>
      <c r="I14" s="164">
        <f t="shared" si="3"/>
        <v>50000</v>
      </c>
      <c r="J14" s="187"/>
      <c r="K14" s="183"/>
      <c r="L14" s="183"/>
      <c r="M14" s="188"/>
      <c r="N14" s="189"/>
      <c r="P14" s="159">
        <v>30</v>
      </c>
      <c r="Q14" s="146">
        <f>ROUND(P14*18/P3,0)</f>
        <v>42</v>
      </c>
    </row>
    <row r="15" spans="1:17" s="169" customFormat="1" ht="18" customHeight="1">
      <c r="A15" s="261" t="s">
        <v>36</v>
      </c>
      <c r="B15" s="318">
        <v>13.8</v>
      </c>
      <c r="C15" s="161">
        <v>16</v>
      </c>
      <c r="D15" s="161">
        <v>44</v>
      </c>
      <c r="E15" s="162"/>
      <c r="F15" s="160"/>
      <c r="G15" s="160"/>
      <c r="H15" s="163">
        <f t="shared" si="2"/>
        <v>50000</v>
      </c>
      <c r="I15" s="164">
        <f t="shared" si="3"/>
        <v>50000</v>
      </c>
      <c r="J15" s="190"/>
      <c r="K15" s="191"/>
      <c r="L15" s="191"/>
      <c r="M15" s="192"/>
      <c r="N15" s="193"/>
      <c r="P15" s="159">
        <v>31</v>
      </c>
      <c r="Q15" s="146">
        <f>ROUND(P15*18/P3,0)</f>
        <v>43</v>
      </c>
    </row>
    <row r="16" spans="1:17" s="169" customFormat="1" ht="18" customHeight="1">
      <c r="A16" s="261" t="s">
        <v>26</v>
      </c>
      <c r="B16" s="318">
        <v>14.6</v>
      </c>
      <c r="C16" s="160">
        <v>16</v>
      </c>
      <c r="D16" s="161">
        <v>42</v>
      </c>
      <c r="E16" s="177"/>
      <c r="F16" s="64"/>
      <c r="G16" s="64"/>
      <c r="H16" s="163">
        <f t="shared" si="2"/>
        <v>50000</v>
      </c>
      <c r="I16" s="164">
        <f t="shared" si="3"/>
        <v>50000</v>
      </c>
      <c r="P16" s="159">
        <v>32</v>
      </c>
      <c r="Q16" s="146">
        <f>ROUND(P16*18/P3,0)</f>
        <v>44</v>
      </c>
    </row>
    <row r="17" spans="1:17" s="169" customFormat="1" ht="18" customHeight="1">
      <c r="A17" s="261" t="s">
        <v>40</v>
      </c>
      <c r="B17" s="318">
        <v>14.2</v>
      </c>
      <c r="C17" s="161" t="s">
        <v>345</v>
      </c>
      <c r="D17" s="161"/>
      <c r="E17" s="162"/>
      <c r="F17" s="64"/>
      <c r="G17" s="64"/>
      <c r="H17" s="163">
        <f t="shared" si="2"/>
        <v>50000</v>
      </c>
      <c r="I17" s="164">
        <f t="shared" si="3"/>
        <v>50000</v>
      </c>
      <c r="O17" s="175"/>
      <c r="P17" s="159">
        <v>33</v>
      </c>
      <c r="Q17" s="146">
        <f>ROUND(P17*18/P3,0)</f>
        <v>46</v>
      </c>
    </row>
    <row r="18" spans="1:17" s="169" customFormat="1" ht="18" customHeight="1">
      <c r="A18" s="261"/>
      <c r="B18" s="318"/>
      <c r="C18" s="161"/>
      <c r="D18" s="161"/>
      <c r="E18" s="162"/>
      <c r="F18" s="160"/>
      <c r="G18" s="160"/>
      <c r="H18" s="163">
        <f t="shared" si="2"/>
        <v>0</v>
      </c>
      <c r="I18" s="164">
        <f t="shared" si="3"/>
        <v>0</v>
      </c>
      <c r="J18" s="11"/>
      <c r="K18" s="11"/>
      <c r="L18" s="11"/>
      <c r="M18" s="11"/>
      <c r="N18" s="11"/>
      <c r="O18" s="176"/>
      <c r="P18" s="159">
        <v>34</v>
      </c>
      <c r="Q18" s="146">
        <f>ROUND(P18*18/P3,0)</f>
        <v>47</v>
      </c>
    </row>
    <row r="19" spans="1:17" s="169" customFormat="1" ht="18" customHeight="1">
      <c r="A19" s="261"/>
      <c r="B19" s="318"/>
      <c r="C19" s="160"/>
      <c r="D19" s="161"/>
      <c r="E19" s="162"/>
      <c r="F19" s="160"/>
      <c r="G19" s="160"/>
      <c r="H19" s="163">
        <f t="shared" si="2"/>
        <v>0</v>
      </c>
      <c r="I19" s="164">
        <f t="shared" si="3"/>
        <v>0</v>
      </c>
      <c r="J19" s="11"/>
      <c r="K19" s="11"/>
      <c r="L19" s="11"/>
      <c r="M19" s="11"/>
      <c r="N19" s="11"/>
      <c r="O19" s="176"/>
      <c r="P19" s="159">
        <v>35</v>
      </c>
      <c r="Q19" s="146">
        <f>ROUND(P19*18/P3,0)</f>
        <v>48</v>
      </c>
    </row>
    <row r="20" spans="1:17" s="144" customFormat="1" ht="18" customHeight="1">
      <c r="A20" s="261"/>
      <c r="B20" s="318"/>
      <c r="C20" s="160"/>
      <c r="D20" s="161"/>
      <c r="E20" s="162"/>
      <c r="F20" s="64"/>
      <c r="G20" s="64"/>
      <c r="H20" s="163">
        <f t="shared" si="2"/>
        <v>0</v>
      </c>
      <c r="I20" s="164">
        <f t="shared" si="3"/>
        <v>0</v>
      </c>
      <c r="J20" s="11"/>
      <c r="K20" s="11"/>
      <c r="L20" s="11"/>
      <c r="M20" s="11"/>
      <c r="N20" s="11"/>
      <c r="P20" s="159">
        <v>36</v>
      </c>
      <c r="Q20" s="146">
        <f>ROUND(P20*18/P3,0)</f>
        <v>50</v>
      </c>
    </row>
    <row r="21" spans="1:17" s="144" customFormat="1" ht="18" customHeight="1">
      <c r="A21" s="261"/>
      <c r="B21" s="318"/>
      <c r="C21" s="160"/>
      <c r="D21" s="161"/>
      <c r="E21" s="162"/>
      <c r="F21" s="64"/>
      <c r="G21" s="64"/>
      <c r="H21" s="163">
        <f t="shared" si="2"/>
        <v>0</v>
      </c>
      <c r="I21" s="164">
        <f t="shared" si="3"/>
        <v>0</v>
      </c>
      <c r="J21" s="11"/>
      <c r="K21" s="11"/>
      <c r="L21" s="11"/>
      <c r="M21" s="11"/>
      <c r="N21" s="11"/>
      <c r="P21" s="159">
        <v>37</v>
      </c>
      <c r="Q21" s="146">
        <f>ROUND(P21*18/P3,0)</f>
        <v>51</v>
      </c>
    </row>
    <row r="22" spans="1:17" s="144" customFormat="1" ht="18" customHeight="1">
      <c r="A22" s="261"/>
      <c r="B22" s="318"/>
      <c r="C22" s="161"/>
      <c r="D22" s="201"/>
      <c r="E22" s="177"/>
      <c r="F22" s="64"/>
      <c r="G22" s="64"/>
      <c r="H22" s="163">
        <f t="shared" si="2"/>
        <v>0</v>
      </c>
      <c r="I22" s="164">
        <f t="shared" si="3"/>
        <v>0</v>
      </c>
      <c r="J22" s="11"/>
      <c r="K22" s="11"/>
      <c r="L22" s="11"/>
      <c r="M22" s="11"/>
      <c r="N22" s="11"/>
      <c r="P22" s="159">
        <v>38</v>
      </c>
      <c r="Q22" s="146">
        <f>ROUND(P22*18/P3,0)</f>
        <v>53</v>
      </c>
    </row>
    <row r="23" spans="1:17" s="144" customFormat="1" ht="18" customHeight="1">
      <c r="A23" s="261"/>
      <c r="B23" s="318"/>
      <c r="C23" s="64"/>
      <c r="D23" s="161"/>
      <c r="E23" s="177"/>
      <c r="F23" s="64"/>
      <c r="G23" s="64"/>
      <c r="H23" s="163">
        <f t="shared" si="2"/>
        <v>0</v>
      </c>
      <c r="I23" s="164">
        <f t="shared" si="3"/>
        <v>0</v>
      </c>
      <c r="J23" s="11"/>
      <c r="K23" s="11"/>
      <c r="L23" s="11"/>
      <c r="M23" s="11"/>
      <c r="N23" s="11"/>
      <c r="P23" s="159">
        <v>39</v>
      </c>
      <c r="Q23" s="146">
        <f>ROUND(P23*18/P3,0)</f>
        <v>54</v>
      </c>
    </row>
    <row r="24" spans="1:17" s="144" customFormat="1" ht="18" customHeight="1">
      <c r="A24" s="261"/>
      <c r="B24" s="318"/>
      <c r="C24" s="160"/>
      <c r="D24" s="194" t="s">
        <v>107</v>
      </c>
      <c r="E24" s="177"/>
      <c r="F24" s="64"/>
      <c r="G24" s="64"/>
      <c r="H24" s="163">
        <f t="shared" si="2"/>
        <v>0</v>
      </c>
      <c r="I24" s="164">
        <f t="shared" si="3"/>
        <v>0</v>
      </c>
      <c r="J24" s="11"/>
      <c r="K24" s="11"/>
      <c r="L24" s="11"/>
      <c r="M24" s="11"/>
      <c r="N24" s="11"/>
      <c r="P24" s="159">
        <v>40</v>
      </c>
      <c r="Q24" s="146">
        <f>ROUND(P24*18/P3,0)</f>
        <v>55</v>
      </c>
    </row>
    <row r="25" spans="1:14" s="144" customFormat="1" ht="18" customHeight="1">
      <c r="A25" s="261"/>
      <c r="B25" s="318"/>
      <c r="C25" s="161"/>
      <c r="D25" s="161"/>
      <c r="E25" s="177"/>
      <c r="F25" s="64"/>
      <c r="G25" s="64"/>
      <c r="H25" s="163">
        <f t="shared" si="2"/>
        <v>0</v>
      </c>
      <c r="I25" s="164">
        <f t="shared" si="3"/>
        <v>0</v>
      </c>
      <c r="J25" s="11"/>
      <c r="K25" s="11"/>
      <c r="L25" s="11"/>
      <c r="M25" s="11"/>
      <c r="N25" s="11"/>
    </row>
    <row r="26" spans="1:14" s="144" customFormat="1" ht="18" customHeight="1">
      <c r="A26" s="261"/>
      <c r="B26" s="318"/>
      <c r="C26" s="160"/>
      <c r="D26" s="161"/>
      <c r="E26" s="162"/>
      <c r="F26" s="160"/>
      <c r="G26" s="160"/>
      <c r="H26" s="163">
        <f t="shared" si="2"/>
        <v>0</v>
      </c>
      <c r="I26" s="164">
        <f t="shared" si="3"/>
        <v>0</v>
      </c>
      <c r="J26" s="11"/>
      <c r="K26" s="11"/>
      <c r="L26" s="11"/>
      <c r="M26" s="11"/>
      <c r="N26" s="11"/>
    </row>
    <row r="27" spans="1:14" s="144" customFormat="1" ht="18" customHeight="1">
      <c r="A27" s="261"/>
      <c r="B27" s="318"/>
      <c r="C27" s="160"/>
      <c r="D27" s="161"/>
      <c r="E27" s="177"/>
      <c r="F27" s="160"/>
      <c r="G27" s="160"/>
      <c r="H27" s="163">
        <f t="shared" si="2"/>
        <v>0</v>
      </c>
      <c r="I27" s="164">
        <f t="shared" si="3"/>
        <v>0</v>
      </c>
      <c r="J27" s="11"/>
      <c r="K27" s="11"/>
      <c r="L27" s="11"/>
      <c r="M27" s="11"/>
      <c r="N27" s="11"/>
    </row>
    <row r="28" spans="1:9" ht="24" customHeight="1">
      <c r="A28" s="1"/>
      <c r="B28" s="3"/>
      <c r="C28" s="196"/>
      <c r="D28" s="197">
        <f>SUM(D4:D27)</f>
        <v>450</v>
      </c>
      <c r="E28" s="196"/>
      <c r="F28" s="3"/>
      <c r="G28" s="198">
        <f>SUM(G4:G27)</f>
        <v>39</v>
      </c>
      <c r="H28" s="198">
        <f>SUM(H4:H27)</f>
        <v>6000000</v>
      </c>
      <c r="I28" s="199"/>
    </row>
  </sheetData>
  <sheetProtection selectLockedCells="1" selectUnlockedCells="1"/>
  <mergeCells count="2">
    <mergeCell ref="B1:N1"/>
    <mergeCell ref="B2:N2"/>
  </mergeCells>
  <printOptions horizontalCentered="1" verticalCentered="1"/>
  <pageMargins left="0.43000000000000005" right="0.43000000000000005" top="0.55" bottom="0.55" header="0.51" footer="0.51"/>
  <pageSetup fitToHeight="1" fitToWidth="1" horizontalDpi="300" verticalDpi="300" orientation="landscape" paperSize="9" scale="7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Jakob Kristensen</cp:lastModifiedBy>
  <cp:lastPrinted>2014-10-13T21:58:38Z</cp:lastPrinted>
  <dcterms:created xsi:type="dcterms:W3CDTF">2013-09-23T23:59:48Z</dcterms:created>
  <dcterms:modified xsi:type="dcterms:W3CDTF">2014-11-04T23:33:25Z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