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41.xml" ContentType="application/vnd.openxmlformats-officedocument.drawing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880" windowWidth="30800" windowHeight="27360" tabRatio="500" activeTab="7"/>
  </bookViews>
  <sheets>
    <sheet name="Samlet Stilling" sheetId="1" r:id="rId1"/>
    <sheet name="Medlemmer" sheetId="2" r:id="rId2"/>
    <sheet name="Money" sheetId="3" r:id="rId3"/>
    <sheet name="Point" sheetId="4" r:id="rId4"/>
    <sheet name="Puts" sheetId="5" r:id="rId5"/>
    <sheet name="Tæt-flag" sheetId="6" r:id="rId6"/>
    <sheet name="08-10" sheetId="7" state="hidden" r:id="rId7"/>
    <sheet name="06-10" sheetId="8" r:id="rId8"/>
    <sheet name="29-09" sheetId="9" r:id="rId9"/>
    <sheet name="22-09" sheetId="10" r:id="rId10"/>
    <sheet name="15-09" sheetId="11" r:id="rId11"/>
    <sheet name="08-09" sheetId="12" r:id="rId12"/>
    <sheet name="01-09" sheetId="13" r:id="rId13"/>
    <sheet name="27-08b" sheetId="14" r:id="rId14"/>
    <sheet name="27-08a" sheetId="15" r:id="rId15"/>
    <sheet name="25-08" sheetId="16" r:id="rId16"/>
    <sheet name="18-08" sheetId="17" r:id="rId17"/>
    <sheet name="11-08" sheetId="18" r:id="rId18"/>
    <sheet name="04-08" sheetId="19" r:id="rId19"/>
    <sheet name="28-07" sheetId="20" r:id="rId20"/>
    <sheet name="21-07" sheetId="21" r:id="rId21"/>
    <sheet name="14-07" sheetId="22" r:id="rId22"/>
    <sheet name="07-07" sheetId="23" r:id="rId23"/>
    <sheet name="30-06" sheetId="24" r:id="rId24"/>
    <sheet name="23-06" sheetId="25" r:id="rId25"/>
    <sheet name="16-06" sheetId="26" r:id="rId26"/>
    <sheet name="09-06" sheetId="27" r:id="rId27"/>
    <sheet name="02-06" sheetId="28" r:id="rId28"/>
    <sheet name="28-05b" sheetId="29" r:id="rId29"/>
    <sheet name="28-05a" sheetId="30" r:id="rId30"/>
    <sheet name="26-05" sheetId="31" r:id="rId31"/>
    <sheet name="19-05" sheetId="32" r:id="rId32"/>
    <sheet name="12-05" sheetId="33" r:id="rId33"/>
    <sheet name="05-05" sheetId="34" r:id="rId34"/>
    <sheet name="28-04" sheetId="35" r:id="rId35"/>
    <sheet name="21-04" sheetId="36" r:id="rId36"/>
    <sheet name="14-04" sheetId="37" r:id="rId37"/>
    <sheet name="07-04" sheetId="38" r:id="rId38"/>
    <sheet name="31-03" sheetId="39" r:id="rId39"/>
    <sheet name="24-03" sheetId="40" r:id="rId40"/>
    <sheet name="17-03" sheetId="41" r:id="rId41"/>
    <sheet name="Tourplan m. sløjfer" sheetId="42" r:id="rId42"/>
    <sheet name="Starttider" sheetId="43" r:id="rId43"/>
    <sheet name="Bødekassen" sheetId="44" r:id="rId44"/>
    <sheet name="Vindere" sheetId="45" r:id="rId45"/>
  </sheets>
  <externalReferences>
    <externalReference r:id="rId48"/>
  </externalReferences>
  <definedNames>
    <definedName name="_xlnm._FilterDatabase" localSheetId="43" hidden="1">'Bødekassen'!$B$2:$AI$2</definedName>
    <definedName name="_xlnm._FilterDatabase" localSheetId="2" hidden="1">'Money'!$A$2:$AM$26</definedName>
    <definedName name="_xlnm._FilterDatabase" localSheetId="3" hidden="1">'Point'!$A$2:$AQ$2</definedName>
    <definedName name="_xlnm._FilterDatabase" localSheetId="4" hidden="1">'Puts'!$A$2:$AP$2</definedName>
    <definedName name="_xlnm._FilterDatabase" localSheetId="5" hidden="1">'Tæt-flag'!$B$2:$E$3</definedName>
    <definedName name="Excel_BuiltIn__FilterDatabase_1">'Samlet Stilling'!$D$2:$D$28</definedName>
    <definedName name="Excel_BuiltIn__FilterDatabase_10">'[1]THE FINAL'!$A$10:$G$14</definedName>
    <definedName name="Excel_BuiltIn__FilterDatabase_11">'15-09'!$A$10:$H$14</definedName>
    <definedName name="Excel_BuiltIn__FilterDatabase_12">'08-09'!$A$10:$H$14</definedName>
    <definedName name="Excel_BuiltIn__FilterDatabase_13">'27-08b'!$A$10:$H$14</definedName>
    <definedName name="Excel_BuiltIn__FilterDatabase_14">'27-08a'!$A$10:$H$14</definedName>
    <definedName name="Excel_BuiltIn__FilterDatabase_15">'01-09'!$A$10:$H$14</definedName>
    <definedName name="Excel_BuiltIn__FilterDatabase_16">'25-08'!$A$10:$H$14</definedName>
    <definedName name="Excel_BuiltIn__FilterDatabase_17">'18-08'!$A$10:$H$14</definedName>
    <definedName name="Excel_BuiltIn__FilterDatabase_18">'11-08'!$A$10:$H$14</definedName>
    <definedName name="Excel_BuiltIn__FilterDatabase_19">'04-08'!$A$10:$H$14</definedName>
    <definedName name="Excel_BuiltIn__FilterDatabase_20">'28-07'!$A$10:$H$14</definedName>
    <definedName name="Excel_BuiltIn__FilterDatabase_21">'21-07'!$A$10:$H$14</definedName>
    <definedName name="Excel_BuiltIn__FilterDatabase_22">'14-07'!$A$10:$H$14</definedName>
    <definedName name="Excel_BuiltIn__FilterDatabase_23">'07-07'!$A$10:$H$14</definedName>
    <definedName name="Excel_BuiltIn__FilterDatabase_24">'23-06'!$A$10:$H$14</definedName>
    <definedName name="Excel_BuiltIn__FilterDatabase_25">'30-06'!$A$10:$H$14</definedName>
    <definedName name="Excel_BuiltIn__FilterDatabase_26">'16-06'!$A$10:$H$14</definedName>
    <definedName name="Excel_BuiltIn__FilterDatabase_27">'09-06'!$A$10:$H$14</definedName>
    <definedName name="Excel_BuiltIn__FilterDatabase_28">'02-06'!$A$10:$H$14</definedName>
    <definedName name="Excel_BuiltIn__FilterDatabase_29">'26-05'!$A$10:$H$14</definedName>
    <definedName name="Excel_BuiltIn__FilterDatabase_3">'Money'!$C$2:$C$21</definedName>
    <definedName name="Excel_BuiltIn__FilterDatabase_30">'28-05b'!$A$10:$H$14</definedName>
    <definedName name="Excel_BuiltIn__FilterDatabase_31">'28-05a'!$A$10:$H$14</definedName>
    <definedName name="Excel_BuiltIn__FilterDatabase_32">'19-05'!$A$10:$H$14</definedName>
    <definedName name="Excel_BuiltIn__FilterDatabase_33">'12-05'!$A$10:$H$14</definedName>
    <definedName name="Excel_BuiltIn__FilterDatabase_34">'05-05'!$A$10:$H$14</definedName>
    <definedName name="Excel_BuiltIn__FilterDatabase_35">'28-04'!$A$10:$H$14</definedName>
    <definedName name="Excel_BuiltIn__FilterDatabase_36">'21-04'!$A$10:$H$14</definedName>
    <definedName name="Excel_BuiltIn__FilterDatabase_37">'14-04'!$A$10:$H$14</definedName>
    <definedName name="Excel_BuiltIn__FilterDatabase_38">'07-04'!$A$10:$H$14</definedName>
    <definedName name="Excel_BuiltIn__FilterDatabase_39">'31-03'!$A$10:$H$14</definedName>
    <definedName name="Excel_BuiltIn__FilterDatabase_4">'Point'!$C$2:$C$26</definedName>
    <definedName name="Excel_BuiltIn__FilterDatabase_40">'24-03'!$A$10:$H$14</definedName>
    <definedName name="Excel_BuiltIn__FilterDatabase_41">'17-03'!$A$10:$H$14</definedName>
    <definedName name="Excel_BuiltIn__FilterDatabase_42">#REF!</definedName>
    <definedName name="Excel_BuiltIn__FilterDatabase_5" localSheetId="43">'Bødekassen'!$B$3:$AI$26</definedName>
    <definedName name="Excel_BuiltIn__FilterDatabase_5">'Puts'!$B$3:$T$26</definedName>
    <definedName name="Excel_BuiltIn__FilterDatabase_6">'Tæt-flag'!$C$2:$C$31</definedName>
    <definedName name="Excel_BuiltIn__FilterDatabase_8" localSheetId="7">'06-10'!$A$10:$H$14</definedName>
    <definedName name="Excel_BuiltIn__FilterDatabase_8" localSheetId="6">'08-10'!$A$10:$H$14</definedName>
    <definedName name="Excel_BuiltIn__FilterDatabase_8">'29-09'!$A$10:$H$14</definedName>
    <definedName name="Excel_BuiltIn__FilterDatabase_9">'22-09'!$A$10:$H$14</definedName>
    <definedName name="_xlnm.Print_Area" localSheetId="12">'01-09'!$A$1:$O$28</definedName>
    <definedName name="_xlnm.Print_Area" localSheetId="27">'02-06'!$A$1:$O$28</definedName>
    <definedName name="_xlnm.Print_Area" localSheetId="18">'04-08'!$A$1:$O$28</definedName>
    <definedName name="_xlnm.Print_Area" localSheetId="33">'05-05'!$A$1:$O$28</definedName>
    <definedName name="_xlnm.Print_Area" localSheetId="37">'07-04'!$A$1:$O$28</definedName>
    <definedName name="_xlnm.Print_Area" localSheetId="22">'07-07'!$A$1:$O$28</definedName>
    <definedName name="_xlnm.Print_Area" localSheetId="11">'08-09'!$A$1:$O$28</definedName>
    <definedName name="_xlnm.Print_Area" localSheetId="26">'09-06'!$A$1:$O$28</definedName>
    <definedName name="_xlnm.Print_Area" localSheetId="17">'11-08'!$A$1:$O$28</definedName>
    <definedName name="_xlnm.Print_Area" localSheetId="32">'12-05'!$A$1:$O$28</definedName>
    <definedName name="_xlnm.Print_Area" localSheetId="36">'14-04'!$A$1:$O$28</definedName>
    <definedName name="_xlnm.Print_Area" localSheetId="21">'14-07'!$A$1:$O$28</definedName>
    <definedName name="_xlnm.Print_Area" localSheetId="10">'15-09'!$A$1:$O$28</definedName>
    <definedName name="_xlnm.Print_Area" localSheetId="25">'16-06'!$A$1:$O$28</definedName>
    <definedName name="_xlnm.Print_Area" localSheetId="40">'17-03'!$A$1:$O$28</definedName>
    <definedName name="_xlnm.Print_Area" localSheetId="16">'18-08'!$A$1:$O$28</definedName>
    <definedName name="_xlnm.Print_Area" localSheetId="31">'19-05'!$A$1:$O$28</definedName>
    <definedName name="_xlnm.Print_Area" localSheetId="35">'21-04'!$A$1:$O$28</definedName>
    <definedName name="_xlnm.Print_Area" localSheetId="20">'21-07'!$A$1:$O$28</definedName>
    <definedName name="_xlnm.Print_Area" localSheetId="24">'23-06'!$A$1:$N$28</definedName>
    <definedName name="_xlnm.Print_Area" localSheetId="39">'24-03'!$A$1:$O$28</definedName>
    <definedName name="_xlnm.Print_Area" localSheetId="15">'25-08'!$A$1:$O$28</definedName>
    <definedName name="_xlnm.Print_Area" localSheetId="30">'26-05'!$A$1:$O$28</definedName>
    <definedName name="_xlnm.Print_Area" localSheetId="14">'27-08a'!$A$1:$O$28</definedName>
    <definedName name="_xlnm.Print_Area" localSheetId="13">'27-08b'!$A$1:$O$28</definedName>
    <definedName name="_xlnm.Print_Area" localSheetId="34">'28-04'!$A$1:$O$28</definedName>
    <definedName name="_xlnm.Print_Area" localSheetId="29">'28-05a'!$A$1:$O$28</definedName>
    <definedName name="_xlnm.Print_Area" localSheetId="28">'28-05b'!$A$1:$O$28</definedName>
    <definedName name="_xlnm.Print_Area" localSheetId="19">'28-07'!$A$1:$O$28</definedName>
    <definedName name="_xlnm.Print_Area" localSheetId="23">'30-06'!$A$1:$O$28</definedName>
    <definedName name="_xlnm.Print_Area" localSheetId="38">'31-03'!$A$1:$O$28</definedName>
    <definedName name="_xlnm.Print_Area" localSheetId="43">'Bødekassen'!$A$1:$AI$28</definedName>
    <definedName name="_xlnm.Print_Area" localSheetId="2">'Money'!$B$1:$AM$28</definedName>
    <definedName name="_xlnm.Print_Area" localSheetId="3">'Point'!$B$1:$AO$29</definedName>
    <definedName name="_xlnm.Print_Area" localSheetId="4">'Puts'!$A$1:$V$31</definedName>
    <definedName name="_xlnm.Print_Area" localSheetId="5">'Tæt-flag'!$B$1:$I$27</definedName>
  </definedNames>
  <calcPr fullCalcOnLoad="1"/>
</workbook>
</file>

<file path=xl/sharedStrings.xml><?xml version="1.0" encoding="utf-8"?>
<sst xmlns="http://schemas.openxmlformats.org/spreadsheetml/2006/main" count="2376" uniqueCount="345">
  <si>
    <t>POINT</t>
  </si>
  <si>
    <t>MONEY</t>
  </si>
  <si>
    <t>PUTS</t>
  </si>
  <si>
    <t>NÆRMEST FLAGET</t>
  </si>
  <si>
    <t>LÆNGSTE DRIVE</t>
  </si>
  <si>
    <t>Inngolf Banerekorder:</t>
  </si>
  <si>
    <t>Fornavn</t>
  </si>
  <si>
    <t>Handicap</t>
  </si>
  <si>
    <t>Bo Hansen</t>
  </si>
  <si>
    <t>Bo H</t>
  </si>
  <si>
    <t>Børge Heiberg</t>
  </si>
  <si>
    <t>Børge H</t>
  </si>
  <si>
    <t>Carsten Dahl</t>
  </si>
  <si>
    <t>Carsten D</t>
  </si>
  <si>
    <t>Carsten Lund</t>
  </si>
  <si>
    <t>Carsten L</t>
  </si>
  <si>
    <t>Claus Jessen</t>
  </si>
  <si>
    <t>Claus J</t>
  </si>
  <si>
    <t>Erik M. Pedersen</t>
  </si>
  <si>
    <t>Erik P</t>
  </si>
  <si>
    <t>Finn E. Christensen</t>
  </si>
  <si>
    <t>Finn EC</t>
  </si>
  <si>
    <t>Hans Martin Vestergaard</t>
  </si>
  <si>
    <t>Hans MV</t>
  </si>
  <si>
    <t>Henning B. Nielsen</t>
  </si>
  <si>
    <t>Henning B</t>
  </si>
  <si>
    <t>Henning Vestergaard</t>
  </si>
  <si>
    <t>Henning V</t>
  </si>
  <si>
    <t>Jakob Kristensen</t>
  </si>
  <si>
    <t>Jakob K</t>
  </si>
  <si>
    <t>Jan Hegner</t>
  </si>
  <si>
    <t>Jan H</t>
  </si>
  <si>
    <t>Jens Laigaard</t>
  </si>
  <si>
    <t>Jens L</t>
  </si>
  <si>
    <t>Jesper Vohs Nielsen</t>
  </si>
  <si>
    <t>Jesper VN</t>
  </si>
  <si>
    <t>John Sørensen</t>
  </si>
  <si>
    <t>John S</t>
  </si>
  <si>
    <t>Karsten Valeur</t>
  </si>
  <si>
    <t>Karsten V</t>
  </si>
  <si>
    <t>Martin Andersen</t>
  </si>
  <si>
    <t>Martin A</t>
  </si>
  <si>
    <t>Morten Clausen</t>
  </si>
  <si>
    <t>Morten C</t>
  </si>
  <si>
    <t>Ole Malmskov</t>
  </si>
  <si>
    <t>Ole M</t>
  </si>
  <si>
    <t>Per Nørsten</t>
  </si>
  <si>
    <t>Per N</t>
  </si>
  <si>
    <t>Robin Thybo</t>
  </si>
  <si>
    <t>Robin T</t>
  </si>
  <si>
    <t>Thorkild Jensen</t>
  </si>
  <si>
    <t>Thorkild J</t>
  </si>
  <si>
    <t>Torben Jacobsen</t>
  </si>
  <si>
    <t>Torben J</t>
  </si>
  <si>
    <t>Money List</t>
  </si>
  <si>
    <t>Samlet</t>
  </si>
  <si>
    <t xml:space="preserve">Runder spillet                     </t>
  </si>
  <si>
    <t>Kontrol:</t>
  </si>
  <si>
    <t xml:space="preserve"> Inngolf Ranking</t>
  </si>
  <si>
    <t>Tællende</t>
  </si>
  <si>
    <t>Min. tællende</t>
  </si>
  <si>
    <t>1. pladser</t>
  </si>
  <si>
    <t xml:space="preserve">    Puts</t>
  </si>
  <si>
    <t>Gen.snit</t>
  </si>
  <si>
    <t>Putte-rund.</t>
  </si>
  <si>
    <t>Med 37 puts</t>
  </si>
  <si>
    <t>Runder tæller</t>
  </si>
  <si>
    <t>Når der spilles mindre end 18 huller, udregnes put antal ud fra gennemsnittet af de spillede huller</t>
  </si>
  <si>
    <t>De dårligste streges (markeret med rød tekst hvis man har spillet over 18 runder.</t>
  </si>
  <si>
    <t>Manglende runder op til 18 udregnet efter 37 puts!</t>
  </si>
  <si>
    <t xml:space="preserve">                Tættest Flaget</t>
  </si>
  <si>
    <t>Længste Drive</t>
  </si>
  <si>
    <t>Afstand i m</t>
  </si>
  <si>
    <t>Hul</t>
  </si>
  <si>
    <t>Dato</t>
  </si>
  <si>
    <t>Bane</t>
  </si>
  <si>
    <t>18 huller</t>
  </si>
  <si>
    <t>Spiller</t>
  </si>
  <si>
    <t>HCP</t>
  </si>
  <si>
    <t>Slag / point</t>
  </si>
  <si>
    <t>Puts</t>
  </si>
  <si>
    <t>Tættest Flaget</t>
  </si>
  <si>
    <t>Placering</t>
  </si>
  <si>
    <t>Point</t>
  </si>
  <si>
    <t>Sign on fee          + $-præmie</t>
  </si>
  <si>
    <t>$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</si>
  <si>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</si>
  <si>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</si>
  <si>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</si>
  <si>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</si>
  <si>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</si>
  <si>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</si>
  <si>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</si>
  <si>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</si>
  <si>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Præmiesum i $:</t>
  </si>
  <si>
    <t>Tæt. Flag ($= 7. pl)</t>
  </si>
  <si>
    <t>Puts er omregnet til 18 huller</t>
  </si>
  <si>
    <t>Antal huller
spillet</t>
  </si>
  <si>
    <t>Omregnet
til</t>
  </si>
  <si>
    <t>BMW Championship</t>
  </si>
  <si>
    <t>-</t>
  </si>
  <si>
    <t>Makker</t>
  </si>
  <si>
    <t>Money</t>
  </si>
  <si>
    <t>2 x</t>
  </si>
  <si>
    <t>Hold</t>
  </si>
  <si>
    <t>4x</t>
  </si>
  <si>
    <t>Deutsche Bank Championship</t>
  </si>
  <si>
    <t>PGA Championship</t>
  </si>
  <si>
    <t>Slag</t>
  </si>
  <si>
    <t>Putts</t>
  </si>
  <si>
    <t>RBC Canadian Open</t>
  </si>
  <si>
    <t>Travelers Championship</t>
  </si>
  <si>
    <t>US Open</t>
  </si>
  <si>
    <t>FedEx St. Jude Classic</t>
  </si>
  <si>
    <t>The Players Championship</t>
  </si>
  <si>
    <t>Wells Fargo Championship</t>
  </si>
  <si>
    <t>Zürich Classic of New Orleans</t>
  </si>
  <si>
    <t>RBC Heritage</t>
  </si>
  <si>
    <t>Valero Texas Open</t>
  </si>
  <si>
    <t>Shell Houston Open</t>
  </si>
  <si>
    <t>Arnold Palmer Invitational</t>
  </si>
  <si>
    <t>Preseason</t>
  </si>
  <si>
    <t>Start</t>
  </si>
  <si>
    <t>Præmie</t>
  </si>
  <si>
    <t>Match</t>
  </si>
  <si>
    <t>Bemærk</t>
  </si>
  <si>
    <t>Stableford</t>
  </si>
  <si>
    <t>Warm-Up</t>
  </si>
  <si>
    <t>Regular Season</t>
  </si>
  <si>
    <t>Ikke 18 huller</t>
  </si>
  <si>
    <t>Superrunde/Spisning</t>
  </si>
  <si>
    <t>MASTERS TOURNAMENT</t>
  </si>
  <si>
    <t>Slagspil</t>
  </si>
  <si>
    <t>U.S. OPEN</t>
  </si>
  <si>
    <t>THE OPEN CHAMPIONSHIP</t>
  </si>
  <si>
    <t>PGA CHAMPIONSHIP</t>
  </si>
  <si>
    <t>27 huller + fest</t>
  </si>
  <si>
    <t> ?</t>
  </si>
  <si>
    <t>2x5.000.000</t>
  </si>
  <si>
    <t>Matchkomite</t>
  </si>
  <si>
    <t>International Tours</t>
  </si>
  <si>
    <t>InnGolf Turkish Invitational</t>
  </si>
  <si>
    <t>Udenlands turnering</t>
  </si>
  <si>
    <t>Starttid</t>
  </si>
  <si>
    <t>Vinder</t>
  </si>
  <si>
    <t>P</t>
  </si>
  <si>
    <t>Tættest flaget</t>
  </si>
  <si>
    <t>Sløjfe</t>
  </si>
  <si>
    <t>Vinterbane</t>
  </si>
  <si>
    <t>Største</t>
  </si>
  <si>
    <t>Valspar Championship</t>
  </si>
  <si>
    <t>TOUR Championship by Coca-Cola</t>
  </si>
  <si>
    <t>InnGolf Championship</t>
  </si>
  <si>
    <t>m</t>
  </si>
  <si>
    <t>Antal deltagere</t>
  </si>
  <si>
    <t>DGU-nr</t>
  </si>
  <si>
    <t xml:space="preserve">AT&amp;T Byron Nelson Championship </t>
  </si>
  <si>
    <t>the Memorial Tournament</t>
  </si>
  <si>
    <t>WGC-Bridgestone Invitational</t>
  </si>
  <si>
    <t>Quicken Loan National</t>
  </si>
  <si>
    <t>Wyndham Championship</t>
  </si>
  <si>
    <t>WGC - Cadillac Championship</t>
  </si>
  <si>
    <t>?</t>
  </si>
  <si>
    <t>InnGolf Captains Cup</t>
  </si>
  <si>
    <t>AT&amp;T Byron Nelson Championship</t>
  </si>
  <si>
    <t>Medley</t>
  </si>
  <si>
    <t>Bøder</t>
  </si>
  <si>
    <t>Bøder kr.</t>
  </si>
  <si>
    <t>De 18 bedste resultater tæller, resten udgår (felter markeret med rød tekst)</t>
  </si>
  <si>
    <t>3x</t>
  </si>
  <si>
    <t>Skoven-Sletten: Dan 75 slag 24/3-05      Sletten-Ådalen: Stig 74 slag 21/7-05      Ådalen-Skoven: Dan 78 slag 28/7-05     Udenbys: Robin 73 slag 29/8-15</t>
  </si>
  <si>
    <t>Steen Nybo</t>
  </si>
  <si>
    <t>Steen N</t>
  </si>
  <si>
    <t xml:space="preserve">   INNGOLF STILLING 2016 </t>
  </si>
  <si>
    <t>The InnGolf Final 2016</t>
  </si>
  <si>
    <t>Inngolf PGA Tour 2016 - Lørdag den 10/10 - 27 huller stableford Ådalen-Skoven-Sletten</t>
  </si>
  <si>
    <t>InnGolf Tourplan 2016</t>
  </si>
  <si>
    <t>WGC - Dell Match Play</t>
  </si>
  <si>
    <t xml:space="preserve">The Greenbrier Classic </t>
  </si>
  <si>
    <t>Made in Denmark</t>
  </si>
  <si>
    <t>Ryder Cup</t>
  </si>
  <si>
    <t>??</t>
  </si>
  <si>
    <t>14. sæson - i alt 33 tællende turneringer</t>
  </si>
  <si>
    <t>Matchform</t>
  </si>
  <si>
    <t>SS</t>
  </si>
  <si>
    <t>SÅ</t>
  </si>
  <si>
    <t>ÅS</t>
  </si>
  <si>
    <t>SSÅ</t>
  </si>
  <si>
    <t>*Holdspil</t>
  </si>
  <si>
    <t>Inngolf PGA Tour 2016 - Torsdag den 1/9 - 18 huller Stableford Sletten/Ådalen</t>
  </si>
  <si>
    <t>Inngolf PGA Tour 2016 - Torsdag den 8/9 - 18 huller Stableford Ådalen/Skoven</t>
  </si>
  <si>
    <t>Inngolf PGA Tour 2016 - Torsdag den 18/8 - 18 huller Stableford - Ådalen/Skoven</t>
  </si>
  <si>
    <t>Inngolf PGA Tour 2016 - Torsdag den 28/7 - 18 huller Stableford Ådalen/Skoven</t>
  </si>
  <si>
    <t>Inngolf PGA Tour 2016 - Torsdag den 21/7 - 18 huller Stableford, Sletten/Ådalen</t>
  </si>
  <si>
    <t>Udenbystur</t>
  </si>
  <si>
    <t>Superrunde/spisning</t>
  </si>
  <si>
    <t>27/08 b</t>
  </si>
  <si>
    <t>27/08 a</t>
  </si>
  <si>
    <t>28/05 b</t>
  </si>
  <si>
    <t>28/05 a</t>
  </si>
  <si>
    <t>Inngolf PGA Tour 2016 - Torsdag den 17/3 - 13 huller Stableford - Skoven-Sletten (Vinterbanen)</t>
  </si>
  <si>
    <t>Inngolf PGA Tour 2016 - Torsdag den 24/3 - 18 huller Stableford - Skoven/Sletten</t>
  </si>
  <si>
    <t>Torben</t>
  </si>
  <si>
    <t>Henning</t>
  </si>
  <si>
    <t>Jakob</t>
  </si>
  <si>
    <t>Erik</t>
  </si>
  <si>
    <t>Bo</t>
  </si>
  <si>
    <t>Børge</t>
  </si>
  <si>
    <t>Jens</t>
  </si>
  <si>
    <t>Steen</t>
  </si>
  <si>
    <t>Thorkild</t>
  </si>
  <si>
    <t>Morten</t>
  </si>
  <si>
    <t>Jesper</t>
  </si>
  <si>
    <t>Ole</t>
  </si>
  <si>
    <t>Jan</t>
  </si>
  <si>
    <t>Robin</t>
  </si>
  <si>
    <t>Inngolf PGA Tour 2016 - Torsdag den 31. marts - 18 huller Stableford -  Skoven/Sletten</t>
  </si>
  <si>
    <t>Skoven 5</t>
  </si>
  <si>
    <t>Karsten</t>
  </si>
  <si>
    <t>Claus</t>
  </si>
  <si>
    <t>Hans Martin</t>
  </si>
  <si>
    <t>Martin</t>
  </si>
  <si>
    <t>Inngolf PGA Tour 2016 - Torsdag den 7. april - 18 huller Stableford - Sletten/Ådalen</t>
  </si>
  <si>
    <t>NR</t>
  </si>
  <si>
    <t>2,47 + 1</t>
  </si>
  <si>
    <t>Sletten 4</t>
  </si>
  <si>
    <t>Ådalen 8</t>
  </si>
  <si>
    <t>Ådalen 9</t>
  </si>
  <si>
    <t>Hans M</t>
  </si>
  <si>
    <t>Skoven-Sletten: Henning V. 13 points 5/7-12 (hvid tee)      Sletten-Ådalen: Henning BN 13 points 9/4-15 &amp; Martin A 13 point 7/4-16      Ådalen-Skoven: Torben C. 11 points 29/4-10</t>
  </si>
  <si>
    <t>Per</t>
  </si>
  <si>
    <t>John</t>
  </si>
  <si>
    <t>Inngolf PGA Tour 2016 - Torsdag den 14 april - 18 huller Stableford - Ådalen/Skoven</t>
  </si>
  <si>
    <t>Inngolf PGA Tour 2016 - Torsdag den 21/4 - 18 huller Stableford - Skoven/Sletten (Rød tee)</t>
  </si>
  <si>
    <t>Sletten 9</t>
  </si>
  <si>
    <t>Inngolf PGA Tour 2016 - Torsdag den 28/4 - 18 huller Stableford - Sletten/Ådalen</t>
  </si>
  <si>
    <t>Inngolf PGA Tour 2016 - Torsdag den 5/5 - 18 huller slagspil - Skoven/Sletten</t>
  </si>
  <si>
    <t>Inngolf PGA Tour 2016 - Torsdag den 12/5 - 18 huller Stableford - Skoven/Sletten</t>
  </si>
  <si>
    <t>Skoven 8</t>
  </si>
  <si>
    <t>Sletten 6</t>
  </si>
  <si>
    <t>Inngolf PGA Tour 2016 - Torsdag den 191/5 - 18 huller Stableford - Sletten/Ådalen - Tee 52</t>
  </si>
  <si>
    <t>Blue Mountain Invitational</t>
  </si>
  <si>
    <t>MK</t>
  </si>
  <si>
    <t>* Tee 52</t>
  </si>
  <si>
    <t>* Tee 46</t>
  </si>
  <si>
    <t>* Tee 60</t>
  </si>
  <si>
    <t>DEAN &amp; DELUCA Invitational</t>
  </si>
  <si>
    <t>Inngolf PGA Tour 2016 - Torsdag den 26/5 - 18 huller Slagspil - Ådalen/Skoven</t>
  </si>
  <si>
    <t>Inngolf PGA Tour 2016 - Lørdag den 28/5 eftermiddag - 18 huller Stableford - Henne GK</t>
  </si>
  <si>
    <t>Inngolf PGA Tour 2016 - Lørdag den 28/5 formiddag - 18 huller Stableford - Henne GK</t>
  </si>
  <si>
    <t>Henne</t>
  </si>
  <si>
    <t>WD</t>
  </si>
  <si>
    <t>LD</t>
  </si>
  <si>
    <t>Henne 8</t>
  </si>
  <si>
    <t>Henne 17</t>
  </si>
  <si>
    <t>Inngolf PGA Tour 2016 - Torsdag den 2/6 - 18 huller Stableford - Skoven/Sletten</t>
  </si>
  <si>
    <t>28/5 a</t>
  </si>
  <si>
    <t>28/5 b</t>
  </si>
  <si>
    <t>Inngolf PGA Tour 2016 - Torsdag den 9/6 - 18 huller Stableford - Sletten/Ådalen</t>
  </si>
  <si>
    <t>Henning BN</t>
  </si>
  <si>
    <t>Inngolf PGA Tour 2016 - Torsdag den 16/6 - 18 huller slagspil, Ådalen/Skoven</t>
  </si>
  <si>
    <t>Inngolf PGA Tour 2016 - Torsdag den 23/6 - 18 huller slagspil - Skoven/Sletten</t>
  </si>
  <si>
    <t>Inngolf PGA Tour 2016 - Torsdag den 30/6 - 18 huller Medley - Sletten/Ådalen</t>
  </si>
  <si>
    <t>Carsten</t>
  </si>
  <si>
    <t>Finn</t>
  </si>
  <si>
    <t>Valeur</t>
  </si>
  <si>
    <t>Inngolf PGA Tour 2016 - Torsdag den 7/7 - 18 huller stableford - Sletten/Ådalen</t>
  </si>
  <si>
    <t>Ådalen 4</t>
  </si>
  <si>
    <t>Inngolf PGA Tour 2016 - Torsdag den 14/7 - 18 huller Slagspil - Skoven/Sletten</t>
  </si>
  <si>
    <t>The Open Championship</t>
  </si>
  <si>
    <t>Karsten / Torben</t>
  </si>
  <si>
    <t>Inngolf PGA Tour 2016 - Torsdag den 4/8 - 18 huller Stableford - Skoven/Sletten</t>
  </si>
  <si>
    <t>2x</t>
  </si>
  <si>
    <t>42</t>
  </si>
  <si>
    <t>Olympic Golf Competition</t>
  </si>
  <si>
    <t>41</t>
  </si>
  <si>
    <t>40</t>
  </si>
  <si>
    <t>36</t>
  </si>
  <si>
    <t>Inngolf PGA Tour 2016 - Torsdag den 11/8 - 18 huller stableford - Sletten / Ådalen</t>
  </si>
  <si>
    <t xml:space="preserve">Claus </t>
  </si>
  <si>
    <t>38</t>
  </si>
  <si>
    <t>39</t>
  </si>
  <si>
    <t>Made In Denmark</t>
  </si>
  <si>
    <t>The Street Open</t>
  </si>
  <si>
    <t>Inngolf PGA Tour 2016 - Lørdag den 27/8 eftermiddag - 18 huller Stableford, Vejen Golfklub</t>
  </si>
  <si>
    <t>Inngolf PGA Tour 2016 - Torsdag den 25/8 - 18 huller Stableford - Skoven/Sletten - Tee 60</t>
  </si>
  <si>
    <t>37</t>
  </si>
  <si>
    <t>The Street Open for Teams</t>
  </si>
  <si>
    <t>Inngolf PGA Tour 2016 - Lørdag den 27/8 formiddag - 18 huller Sokrates, Vejen Golfklub</t>
  </si>
  <si>
    <t>Pedro I</t>
  </si>
  <si>
    <t>Kristian Dam</t>
  </si>
  <si>
    <t>Pedro II</t>
  </si>
  <si>
    <t>1</t>
  </si>
  <si>
    <t>Vejen 2</t>
  </si>
  <si>
    <t>Vejen 7</t>
  </si>
  <si>
    <t>Vejen 5</t>
  </si>
  <si>
    <t>Vejen 15</t>
  </si>
  <si>
    <t>Vejen 13</t>
  </si>
  <si>
    <t>LD + 1</t>
  </si>
  <si>
    <t>Vejen</t>
  </si>
  <si>
    <t>The Street Open Individual</t>
  </si>
  <si>
    <t>InnGolf Tourvinder 2016</t>
  </si>
  <si>
    <t>2X</t>
  </si>
  <si>
    <t>35</t>
  </si>
  <si>
    <t>Ådalen 2</t>
  </si>
  <si>
    <t>2</t>
  </si>
  <si>
    <t>Inngolf PGA Tour 2016 - Torsdag den 15/9 - 16 huller stableford Skoven/Sletten</t>
  </si>
  <si>
    <t>34</t>
  </si>
  <si>
    <t>Tour Championship</t>
  </si>
  <si>
    <t>Inngolf PGA Tour 2016 - Torsdag den 22/9 - 13 huller stableford Sletten-Ådalen</t>
  </si>
  <si>
    <t>18,9</t>
  </si>
  <si>
    <t>29</t>
  </si>
  <si>
    <t>12,9</t>
  </si>
  <si>
    <t>26</t>
  </si>
  <si>
    <t>17,8</t>
  </si>
  <si>
    <t>18,7</t>
  </si>
  <si>
    <t>14,2</t>
  </si>
  <si>
    <t>25</t>
  </si>
  <si>
    <t>11,0</t>
  </si>
  <si>
    <t>24</t>
  </si>
  <si>
    <t>22,7</t>
  </si>
  <si>
    <t>7,3</t>
  </si>
  <si>
    <t>22</t>
  </si>
  <si>
    <t>11,1</t>
  </si>
  <si>
    <t>12,1</t>
  </si>
  <si>
    <t>21,0</t>
  </si>
  <si>
    <t>21,1</t>
  </si>
  <si>
    <t>19,9</t>
  </si>
  <si>
    <t>21</t>
  </si>
  <si>
    <t>12,0</t>
  </si>
  <si>
    <t>20</t>
  </si>
  <si>
    <t>9,6</t>
  </si>
  <si>
    <t>18</t>
  </si>
  <si>
    <t>20,1</t>
  </si>
  <si>
    <t>15,4</t>
  </si>
  <si>
    <t>15</t>
  </si>
  <si>
    <t>46</t>
  </si>
  <si>
    <t>43</t>
  </si>
  <si>
    <t>Inngolf PGA Tour 2016 - Torsdag den 29/9 - 12 huller stableford Ådalen-Skoven</t>
  </si>
  <si>
    <t>3</t>
  </si>
  <si>
    <t>InnGolf Captains Cup 2016</t>
  </si>
  <si>
    <t>Inngolf PGA Tour 2016 - Torsdag den 8/10 - 11 huller stableford Ådalen-Skoven</t>
  </si>
  <si>
    <t>33</t>
  </si>
  <si>
    <t>45</t>
  </si>
  <si>
    <t>44</t>
  </si>
</sst>
</file>

<file path=xl/styles.xml><?xml version="1.0" encoding="utf-8"?>
<styleSheet xmlns="http://schemas.openxmlformats.org/spreadsheetml/2006/main">
  <numFmts count="2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dd/mm"/>
    <numFmt numFmtId="174" formatCode="mmm/yyyy"/>
    <numFmt numFmtId="175" formatCode="[$-406]dddd\ &quot;den&quot;\ d\.\ mmmm\ yyyy"/>
    <numFmt numFmtId="176" formatCode="dd\-mm"/>
    <numFmt numFmtId="177" formatCode="hh\.mm\.ss"/>
    <numFmt numFmtId="178" formatCode="hh:mm;@"/>
  </numFmts>
  <fonts count="86">
    <font>
      <sz val="10"/>
      <name val="Arial"/>
      <family val="0"/>
    </font>
    <font>
      <sz val="12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color indexed="55"/>
      <name val="Arial"/>
      <family val="0"/>
    </font>
    <font>
      <sz val="12"/>
      <color indexed="55"/>
      <name val="Arial"/>
      <family val="2"/>
    </font>
    <font>
      <sz val="12"/>
      <color indexed="9"/>
      <name val="Arial"/>
      <family val="2"/>
    </font>
    <font>
      <sz val="10"/>
      <color indexed="22"/>
      <name val="Arial"/>
      <family val="0"/>
    </font>
    <font>
      <sz val="10"/>
      <color indexed="8"/>
      <name val="Arial"/>
      <family val="2"/>
    </font>
    <font>
      <b/>
      <sz val="16"/>
      <color indexed="22"/>
      <name val="Arial"/>
      <family val="2"/>
    </font>
    <font>
      <b/>
      <sz val="16"/>
      <color indexed="8"/>
      <name val="Arial"/>
      <family val="2"/>
    </font>
    <font>
      <sz val="12"/>
      <color indexed="22"/>
      <name val="Arial"/>
      <family val="2"/>
    </font>
    <font>
      <sz val="12"/>
      <color indexed="8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8"/>
      <name val="Verdana"/>
      <family val="0"/>
    </font>
    <font>
      <sz val="14"/>
      <name val="Arial"/>
      <family val="0"/>
    </font>
    <font>
      <b/>
      <sz val="26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sz val="22"/>
      <color indexed="62"/>
      <name val="Calibri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b/>
      <sz val="12"/>
      <name val="Calibri"/>
      <family val="0"/>
    </font>
    <font>
      <i/>
      <sz val="11"/>
      <name val="Arial"/>
      <family val="0"/>
    </font>
    <font>
      <sz val="12"/>
      <name val="Calibri"/>
      <family val="2"/>
    </font>
    <font>
      <i/>
      <sz val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8"/>
      <color indexed="56"/>
      <name val="Cambria"/>
      <family val="2"/>
    </font>
    <font>
      <sz val="12"/>
      <color indexed="14"/>
      <name val="Calibri"/>
      <family val="2"/>
    </font>
    <font>
      <i/>
      <sz val="11"/>
      <color indexed="55"/>
      <name val="Arial"/>
      <family val="0"/>
    </font>
    <font>
      <sz val="10"/>
      <color indexed="10"/>
      <name val="Arial"/>
      <family val="0"/>
    </font>
    <font>
      <sz val="10"/>
      <name val="Calibri"/>
      <family val="0"/>
    </font>
    <font>
      <i/>
      <sz val="10"/>
      <name val="Calibri"/>
      <family val="0"/>
    </font>
    <font>
      <i/>
      <sz val="12"/>
      <color indexed="8"/>
      <name val="Calibri"/>
      <family val="0"/>
    </font>
    <font>
      <i/>
      <sz val="12"/>
      <name val="Calibri"/>
      <family val="0"/>
    </font>
    <font>
      <i/>
      <sz val="12"/>
      <color indexed="9"/>
      <name val="Calibri"/>
      <family val="0"/>
    </font>
    <font>
      <sz val="11"/>
      <color indexed="8"/>
      <name val="Arial"/>
      <family val="0"/>
    </font>
    <font>
      <b/>
      <sz val="22"/>
      <color indexed="17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1"/>
      <color theme="0" tint="-0.3499799966812134"/>
      <name val="Arial"/>
      <family val="0"/>
    </font>
    <font>
      <i/>
      <sz val="11"/>
      <color theme="0" tint="-0.3499799966812134"/>
      <name val="Arial"/>
      <family val="0"/>
    </font>
    <font>
      <sz val="10"/>
      <color rgb="FFFF0000"/>
      <name val="Arial"/>
      <family val="0"/>
    </font>
    <font>
      <i/>
      <sz val="12"/>
      <color theme="0"/>
      <name val="Calibri"/>
      <family val="0"/>
    </font>
    <font>
      <sz val="10"/>
      <color theme="0"/>
      <name val="Arial"/>
      <family val="2"/>
    </font>
    <font>
      <sz val="11"/>
      <color theme="1"/>
      <name val="Arial"/>
      <family val="0"/>
    </font>
    <font>
      <b/>
      <sz val="22"/>
      <color rgb="FF008000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2C7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65" fillId="21" borderId="2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0" borderId="3" applyNumberFormat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textRotation="90"/>
      <protection locked="0"/>
    </xf>
    <xf numFmtId="49" fontId="4" fillId="0" borderId="0" xfId="0" applyNumberFormat="1" applyFont="1" applyBorder="1" applyAlignment="1" applyProtection="1">
      <alignment textRotation="90"/>
      <protection/>
    </xf>
    <xf numFmtId="49" fontId="4" fillId="33" borderId="10" xfId="0" applyNumberFormat="1" applyFont="1" applyFill="1" applyBorder="1" applyAlignment="1" applyProtection="1">
      <alignment horizontal="center" textRotation="90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4" fillId="33" borderId="11" xfId="0" applyNumberFormat="1" applyFont="1" applyFill="1" applyBorder="1" applyAlignment="1" applyProtection="1">
      <alignment horizontal="center" textRotation="90"/>
      <protection locked="0"/>
    </xf>
    <xf numFmtId="49" fontId="13" fillId="33" borderId="11" xfId="0" applyNumberFormat="1" applyFont="1" applyFill="1" applyBorder="1" applyAlignment="1" applyProtection="1">
      <alignment horizontal="center" textRotation="90"/>
      <protection/>
    </xf>
    <xf numFmtId="49" fontId="4" fillId="0" borderId="0" xfId="0" applyNumberFormat="1" applyFont="1" applyBorder="1" applyAlignment="1" applyProtection="1">
      <alignment textRotation="90"/>
      <protection locked="0"/>
    </xf>
    <xf numFmtId="0" fontId="4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3" fontId="21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33" borderId="10" xfId="0" applyNumberFormat="1" applyFont="1" applyFill="1" applyBorder="1" applyAlignment="1" applyProtection="1">
      <alignment horizontal="center" textRotation="90"/>
      <protection locked="0"/>
    </xf>
    <xf numFmtId="49" fontId="21" fillId="0" borderId="0" xfId="0" applyNumberFormat="1" applyFont="1" applyAlignment="1" applyProtection="1">
      <alignment textRotation="90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" fontId="4" fillId="0" borderId="0" xfId="0" applyNumberFormat="1" applyFont="1" applyBorder="1" applyAlignment="1" applyProtection="1">
      <alignment horizontal="center"/>
      <protection locked="0"/>
    </xf>
    <xf numFmtId="2" fontId="4" fillId="33" borderId="11" xfId="0" applyNumberFormat="1" applyFont="1" applyFill="1" applyBorder="1" applyAlignment="1" applyProtection="1">
      <alignment horizontal="center" textRotation="90"/>
      <protection locked="0"/>
    </xf>
    <xf numFmtId="49" fontId="4" fillId="0" borderId="0" xfId="0" applyNumberFormat="1" applyFont="1" applyBorder="1" applyAlignment="1" applyProtection="1">
      <alignment horizontal="center" textRotation="90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34" borderId="10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0" fillId="34" borderId="13" xfId="0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 wrapText="1"/>
    </xf>
    <xf numFmtId="0" fontId="20" fillId="34" borderId="15" xfId="0" applyFont="1" applyFill="1" applyBorder="1" applyAlignment="1">
      <alignment wrapText="1"/>
    </xf>
    <xf numFmtId="1" fontId="26" fillId="34" borderId="15" xfId="0" applyNumberFormat="1" applyFont="1" applyFill="1" applyBorder="1" applyAlignment="1">
      <alignment horizontal="left" vertical="center"/>
    </xf>
    <xf numFmtId="1" fontId="26" fillId="34" borderId="16" xfId="0" applyNumberFormat="1" applyFont="1" applyFill="1" applyBorder="1" applyAlignment="1">
      <alignment horizontal="center" vertical="center"/>
    </xf>
    <xf numFmtId="1" fontId="26" fillId="34" borderId="14" xfId="0" applyNumberFormat="1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 vertical="center" wrapText="1" inden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left" vertical="center" wrapText="1" indent="1"/>
    </xf>
    <xf numFmtId="3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left" vertical="center" wrapText="1" indent="1"/>
    </xf>
    <xf numFmtId="3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>
      <alignment horizontal="left" vertical="center" wrapText="1" indent="1"/>
    </xf>
    <xf numFmtId="3" fontId="6" fillId="0" borderId="27" xfId="0" applyNumberFormat="1" applyFont="1" applyFill="1" applyBorder="1" applyAlignment="1" applyProtection="1">
      <alignment horizontal="center" vertical="center" wrapText="1"/>
      <protection/>
    </xf>
    <xf numFmtId="3" fontId="6" fillId="0" borderId="23" xfId="0" applyNumberFormat="1" applyFont="1" applyFill="1" applyBorder="1" applyAlignment="1" applyProtection="1">
      <alignment horizontal="right" vertical="center" wrapText="1" indent="2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 wrapText="1" indent="2"/>
      <protection/>
    </xf>
    <xf numFmtId="3" fontId="6" fillId="0" borderId="27" xfId="0" applyNumberFormat="1" applyFont="1" applyFill="1" applyBorder="1" applyAlignment="1" applyProtection="1">
      <alignment horizontal="right" vertical="center" wrapText="1" indent="2"/>
      <protection/>
    </xf>
    <xf numFmtId="3" fontId="6" fillId="0" borderId="21" xfId="0" applyNumberFormat="1" applyFont="1" applyFill="1" applyBorder="1" applyAlignment="1" applyProtection="1">
      <alignment horizontal="right" vertical="center" wrapText="1" indent="2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2"/>
      <protection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left" vertical="center" wrapText="1" indent="1"/>
    </xf>
    <xf numFmtId="2" fontId="6" fillId="0" borderId="28" xfId="0" applyNumberFormat="1" applyFont="1" applyFill="1" applyBorder="1" applyAlignment="1" applyProtection="1">
      <alignment horizontal="center" wrapText="1"/>
      <protection/>
    </xf>
    <xf numFmtId="1" fontId="0" fillId="0" borderId="28" xfId="0" applyNumberFormat="1" applyFont="1" applyFill="1" applyBorder="1" applyAlignment="1" applyProtection="1">
      <alignment horizontal="center" wrapText="1"/>
      <protection/>
    </xf>
    <xf numFmtId="0" fontId="2" fillId="0" borderId="29" xfId="0" applyFont="1" applyFill="1" applyBorder="1" applyAlignment="1">
      <alignment horizontal="left" vertical="center" wrapText="1" indent="1"/>
    </xf>
    <xf numFmtId="2" fontId="6" fillId="0" borderId="29" xfId="0" applyNumberFormat="1" applyFont="1" applyFill="1" applyBorder="1" applyAlignment="1" applyProtection="1">
      <alignment horizontal="center" wrapText="1"/>
      <protection/>
    </xf>
    <xf numFmtId="1" fontId="0" fillId="0" borderId="29" xfId="0" applyNumberFormat="1" applyFont="1" applyFill="1" applyBorder="1" applyAlignment="1" applyProtection="1">
      <alignment horizontal="center" wrapText="1"/>
      <protection/>
    </xf>
    <xf numFmtId="16" fontId="1" fillId="0" borderId="3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69" fillId="35" borderId="0" xfId="0" applyFont="1" applyFill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4" fillId="0" borderId="30" xfId="0" applyNumberFormat="1" applyFont="1" applyBorder="1" applyAlignment="1" applyProtection="1">
      <alignment textRotation="90"/>
      <protection locked="0"/>
    </xf>
    <xf numFmtId="2" fontId="4" fillId="33" borderId="31" xfId="0" applyNumberFormat="1" applyFont="1" applyFill="1" applyBorder="1" applyAlignment="1" applyProtection="1">
      <alignment horizontal="center" textRotation="90"/>
      <protection locked="0"/>
    </xf>
    <xf numFmtId="1" fontId="4" fillId="33" borderId="31" xfId="0" applyNumberFormat="1" applyFont="1" applyFill="1" applyBorder="1" applyAlignment="1" applyProtection="1">
      <alignment horizontal="center" textRotation="90"/>
      <protection locked="0"/>
    </xf>
    <xf numFmtId="16" fontId="4" fillId="33" borderId="31" xfId="0" applyNumberFormat="1" applyFont="1" applyFill="1" applyBorder="1" applyAlignment="1" applyProtection="1">
      <alignment horizontal="center" textRotation="90"/>
      <protection locked="0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/>
    </xf>
    <xf numFmtId="1" fontId="0" fillId="0" borderId="32" xfId="0" applyNumberFormat="1" applyFont="1" applyBorder="1" applyAlignment="1" applyProtection="1">
      <alignment horizontal="center" vertical="center"/>
      <protection locked="0"/>
    </xf>
    <xf numFmtId="2" fontId="6" fillId="0" borderId="28" xfId="0" applyNumberFormat="1" applyFont="1" applyBorder="1" applyAlignment="1" applyProtection="1">
      <alignment horizontal="center" vertical="center"/>
      <protection locked="0"/>
    </xf>
    <xf numFmtId="2" fontId="6" fillId="0" borderId="32" xfId="0" applyNumberFormat="1" applyFont="1" applyBorder="1" applyAlignment="1" applyProtection="1">
      <alignment horizontal="center" vertical="center"/>
      <protection locked="0"/>
    </xf>
    <xf numFmtId="16" fontId="0" fillId="0" borderId="32" xfId="0" applyNumberFormat="1" applyFont="1" applyBorder="1" applyAlignment="1" applyProtection="1">
      <alignment horizontal="center" vertical="center"/>
      <protection locked="0"/>
    </xf>
    <xf numFmtId="1" fontId="0" fillId="0" borderId="28" xfId="0" applyNumberFormat="1" applyFont="1" applyBorder="1" applyAlignment="1" applyProtection="1">
      <alignment horizontal="center" vertical="center"/>
      <protection locked="0"/>
    </xf>
    <xf numFmtId="16" fontId="0" fillId="0" borderId="28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6" fontId="0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1" fontId="2" fillId="0" borderId="11" xfId="0" applyNumberFormat="1" applyFont="1" applyFill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/>
    </xf>
    <xf numFmtId="173" fontId="0" fillId="33" borderId="11" xfId="0" applyNumberFormat="1" applyFill="1" applyBorder="1" applyAlignment="1" applyProtection="1">
      <alignment horizontal="center" vertical="center" textRotation="90"/>
      <protection/>
    </xf>
    <xf numFmtId="173" fontId="0" fillId="33" borderId="11" xfId="0" applyNumberFormat="1" applyFont="1" applyFill="1" applyBorder="1" applyAlignment="1" applyProtection="1">
      <alignment horizontal="center" vertical="center" textRotation="90"/>
      <protection/>
    </xf>
    <xf numFmtId="49" fontId="0" fillId="33" borderId="10" xfId="0" applyNumberFormat="1" applyFont="1" applyFill="1" applyBorder="1" applyAlignment="1" applyProtection="1">
      <alignment horizontal="center" vertical="center" textRotation="90"/>
      <protection/>
    </xf>
    <xf numFmtId="172" fontId="27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79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1" fontId="18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0" fillId="33" borderId="11" xfId="0" applyNumberFormat="1" applyFont="1" applyFill="1" applyBorder="1" applyAlignment="1" applyProtection="1">
      <alignment horizontal="center" textRotation="90"/>
      <protection/>
    </xf>
    <xf numFmtId="1" fontId="4" fillId="36" borderId="28" xfId="0" applyNumberFormat="1" applyFont="1" applyFill="1" applyBorder="1" applyAlignment="1" applyProtection="1">
      <alignment vertical="center" wrapText="1"/>
      <protection/>
    </xf>
    <xf numFmtId="1" fontId="4" fillId="36" borderId="28" xfId="0" applyNumberFormat="1" applyFont="1" applyFill="1" applyBorder="1" applyAlignment="1" applyProtection="1">
      <alignment horizontal="left" vertical="center" wrapText="1"/>
      <protection/>
    </xf>
    <xf numFmtId="1" fontId="4" fillId="36" borderId="28" xfId="0" applyNumberFormat="1" applyFont="1" applyFill="1" applyBorder="1" applyAlignment="1" applyProtection="1">
      <alignment horizontal="left" vertical="center"/>
      <protection/>
    </xf>
    <xf numFmtId="1" fontId="4" fillId="36" borderId="10" xfId="0" applyNumberFormat="1" applyFont="1" applyFill="1" applyBorder="1" applyAlignment="1" applyProtection="1">
      <alignment vertical="center" wrapText="1"/>
      <protection/>
    </xf>
    <xf numFmtId="1" fontId="4" fillId="36" borderId="10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69" fillId="37" borderId="34" xfId="0" applyFont="1" applyFill="1" applyBorder="1" applyAlignment="1">
      <alignment horizontal="center"/>
    </xf>
    <xf numFmtId="16" fontId="69" fillId="37" borderId="35" xfId="0" applyNumberFormat="1" applyFont="1" applyFill="1" applyBorder="1" applyAlignment="1">
      <alignment horizontal="center"/>
    </xf>
    <xf numFmtId="20" fontId="32" fillId="0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32" fillId="0" borderId="34" xfId="0" applyFont="1" applyFill="1" applyBorder="1" applyAlignment="1">
      <alignment horizontal="center"/>
    </xf>
    <xf numFmtId="20" fontId="32" fillId="38" borderId="34" xfId="0" applyNumberFormat="1" applyFont="1" applyFill="1" applyBorder="1" applyAlignment="1">
      <alignment horizontal="center"/>
    </xf>
    <xf numFmtId="0" fontId="0" fillId="38" borderId="35" xfId="0" applyFont="1" applyFill="1" applyBorder="1" applyAlignment="1">
      <alignment/>
    </xf>
    <xf numFmtId="0" fontId="32" fillId="38" borderId="34" xfId="0" applyFont="1" applyFill="1" applyBorder="1" applyAlignment="1">
      <alignment horizontal="center"/>
    </xf>
    <xf numFmtId="2" fontId="6" fillId="0" borderId="36" xfId="0" applyNumberFormat="1" applyFont="1" applyBorder="1" applyAlignment="1" applyProtection="1">
      <alignment horizontal="center" vertical="center"/>
      <protection locked="0"/>
    </xf>
    <xf numFmtId="16" fontId="0" fillId="0" borderId="3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36" borderId="10" xfId="0" applyFont="1" applyFill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vertical="center"/>
      <protection/>
    </xf>
    <xf numFmtId="16" fontId="0" fillId="0" borderId="10" xfId="0" applyNumberFormat="1" applyBorder="1" applyAlignment="1" applyProtection="1">
      <alignment horizontal="center" vertical="center"/>
      <protection locked="0"/>
    </xf>
    <xf numFmtId="2" fontId="6" fillId="0" borderId="38" xfId="0" applyNumberFormat="1" applyFont="1" applyBorder="1" applyAlignment="1" applyProtection="1">
      <alignment horizontal="center" vertical="center"/>
      <protection locked="0"/>
    </xf>
    <xf numFmtId="1" fontId="0" fillId="0" borderId="3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16" fontId="4" fillId="0" borderId="28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6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6" borderId="10" xfId="0" applyFont="1" applyFill="1" applyBorder="1" applyAlignment="1" applyProtection="1">
      <alignment vertical="center"/>
      <protection locked="0"/>
    </xf>
    <xf numFmtId="1" fontId="0" fillId="0" borderId="28" xfId="0" applyNumberFormat="1" applyFont="1" applyFill="1" applyBorder="1" applyAlignment="1" applyProtection="1" quotePrefix="1">
      <alignment horizontal="center" wrapText="1"/>
      <protection/>
    </xf>
    <xf numFmtId="3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172" fontId="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0" fontId="80" fillId="0" borderId="0" xfId="0" applyFont="1" applyAlignment="1">
      <alignment/>
    </xf>
    <xf numFmtId="1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3" fontId="0" fillId="0" borderId="39" xfId="0" applyNumberFormat="1" applyFont="1" applyFill="1" applyBorder="1" applyAlignment="1" applyProtection="1">
      <alignment horizontal="right" vertical="center" wrapText="1"/>
      <protection/>
    </xf>
    <xf numFmtId="0" fontId="34" fillId="0" borderId="30" xfId="0" applyFont="1" applyBorder="1" applyAlignment="1">
      <alignment horizontal="left"/>
    </xf>
    <xf numFmtId="1" fontId="34" fillId="0" borderId="30" xfId="0" applyNumberFormat="1" applyFont="1" applyBorder="1" applyAlignment="1">
      <alignment horizontal="center"/>
    </xf>
    <xf numFmtId="1" fontId="34" fillId="0" borderId="30" xfId="0" applyNumberFormat="1" applyFont="1" applyBorder="1" applyAlignment="1">
      <alignment horizontal="left"/>
    </xf>
    <xf numFmtId="2" fontId="34" fillId="0" borderId="3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21" xfId="0" applyNumberFormat="1" applyFont="1" applyFill="1" applyBorder="1" applyAlignment="1">
      <alignment horizontal="center" vertical="center"/>
    </xf>
    <xf numFmtId="172" fontId="27" fillId="0" borderId="32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indent="1"/>
    </xf>
    <xf numFmtId="1" fontId="6" fillId="0" borderId="42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left" vertical="center" wrapText="1" indent="1"/>
    </xf>
    <xf numFmtId="3" fontId="6" fillId="0" borderId="42" xfId="0" applyNumberFormat="1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 wrapText="1" indent="1"/>
    </xf>
    <xf numFmtId="3" fontId="0" fillId="0" borderId="44" xfId="0" applyNumberFormat="1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indent="1"/>
    </xf>
    <xf numFmtId="1" fontId="0" fillId="0" borderId="47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left" vertical="center" wrapText="1" indent="1"/>
    </xf>
    <xf numFmtId="3" fontId="0" fillId="0" borderId="47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indent="1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left" vertical="center" wrapText="1" inden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3" fontId="2" fillId="0" borderId="28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 indent="1"/>
    </xf>
    <xf numFmtId="0" fontId="69" fillId="35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20" fontId="0" fillId="0" borderId="0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 indent="1"/>
    </xf>
    <xf numFmtId="172" fontId="2" fillId="0" borderId="48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wrapText="1"/>
    </xf>
    <xf numFmtId="1" fontId="4" fillId="36" borderId="28" xfId="0" applyNumberFormat="1" applyFont="1" applyFill="1" applyBorder="1" applyAlignment="1" applyProtection="1">
      <alignment vertical="center"/>
      <protection locked="0"/>
    </xf>
    <xf numFmtId="1" fontId="8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28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16" fontId="1" fillId="0" borderId="28" xfId="0" applyNumberFormat="1" applyFont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3" fontId="1" fillId="0" borderId="28" xfId="0" applyNumberFormat="1" applyFont="1" applyBorder="1" applyAlignment="1">
      <alignment horizontal="center" vertical="center"/>
    </xf>
    <xf numFmtId="0" fontId="56" fillId="39" borderId="28" xfId="0" applyFont="1" applyFill="1" applyBorder="1" applyAlignment="1">
      <alignment/>
    </xf>
    <xf numFmtId="0" fontId="55" fillId="40" borderId="28" xfId="0" applyFont="1" applyFill="1" applyBorder="1" applyAlignment="1">
      <alignment/>
    </xf>
    <xf numFmtId="0" fontId="56" fillId="41" borderId="0" xfId="0" applyFont="1" applyFill="1" applyAlignment="1">
      <alignment/>
    </xf>
    <xf numFmtId="0" fontId="30" fillId="0" borderId="28" xfId="0" applyFont="1" applyBorder="1" applyAlignment="1">
      <alignment vertical="center"/>
    </xf>
    <xf numFmtId="0" fontId="55" fillId="39" borderId="28" xfId="0" applyFont="1" applyFill="1" applyBorder="1" applyAlignment="1">
      <alignment/>
    </xf>
    <xf numFmtId="0" fontId="56" fillId="40" borderId="28" xfId="0" applyFont="1" applyFill="1" applyBorder="1" applyAlignment="1">
      <alignment/>
    </xf>
    <xf numFmtId="0" fontId="1" fillId="0" borderId="35" xfId="0" applyFont="1" applyFill="1" applyBorder="1" applyAlignment="1">
      <alignment vertical="center"/>
    </xf>
    <xf numFmtId="0" fontId="82" fillId="41" borderId="28" xfId="0" applyFont="1" applyFill="1" applyBorder="1" applyAlignment="1">
      <alignment/>
    </xf>
    <xf numFmtId="0" fontId="55" fillId="41" borderId="28" xfId="0" applyFont="1" applyFill="1" applyBorder="1" applyAlignment="1">
      <alignment/>
    </xf>
    <xf numFmtId="0" fontId="1" fillId="0" borderId="28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176" fontId="1" fillId="0" borderId="28" xfId="0" applyNumberFormat="1" applyFont="1" applyBorder="1" applyAlignment="1">
      <alignment horizontal="center" vertical="center"/>
    </xf>
    <xf numFmtId="2" fontId="2" fillId="42" borderId="10" xfId="0" applyNumberFormat="1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1" fontId="2" fillId="42" borderId="10" xfId="0" applyNumberFormat="1" applyFont="1" applyFill="1" applyBorder="1" applyAlignment="1">
      <alignment horizontal="center" vertical="center"/>
    </xf>
    <xf numFmtId="0" fontId="83" fillId="0" borderId="10" xfId="0" applyNumberFormat="1" applyFont="1" applyBorder="1" applyAlignment="1">
      <alignment horizontal="left" vertical="center" indent="1"/>
    </xf>
    <xf numFmtId="2" fontId="83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41" xfId="0" applyFont="1" applyBorder="1" applyAlignment="1">
      <alignment horizontal="left" vertical="center" indent="1"/>
    </xf>
    <xf numFmtId="2" fontId="6" fillId="0" borderId="4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2" fontId="0" fillId="0" borderId="4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 indent="1"/>
    </xf>
    <xf numFmtId="2" fontId="0" fillId="0" borderId="4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indent="1"/>
    </xf>
    <xf numFmtId="2" fontId="0" fillId="0" borderId="2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left" vertical="center" indent="1"/>
    </xf>
    <xf numFmtId="0" fontId="63" fillId="0" borderId="0" xfId="0" applyFont="1" applyBorder="1" applyAlignment="1">
      <alignment horizontal="center"/>
    </xf>
    <xf numFmtId="3" fontId="1" fillId="0" borderId="3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6" fillId="0" borderId="49" xfId="0" applyNumberFormat="1" applyFont="1" applyBorder="1" applyAlignment="1" applyProtection="1">
      <alignment horizontal="center" vertical="center"/>
      <protection locked="0"/>
    </xf>
    <xf numFmtId="1" fontId="0" fillId="0" borderId="50" xfId="0" applyNumberFormat="1" applyFont="1" applyBorder="1" applyAlignment="1" applyProtection="1">
      <alignment horizontal="center" vertical="center"/>
      <protection locked="0"/>
    </xf>
    <xf numFmtId="16" fontId="0" fillId="0" borderId="51" xfId="0" applyNumberFormat="1" applyFont="1" applyBorder="1" applyAlignment="1" applyProtection="1">
      <alignment horizontal="center" vertical="center"/>
      <protection locked="0"/>
    </xf>
    <xf numFmtId="16" fontId="0" fillId="0" borderId="52" xfId="0" applyNumberFormat="1" applyFon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left" vertical="center" indent="1"/>
    </xf>
    <xf numFmtId="1" fontId="0" fillId="0" borderId="46" xfId="0" applyNumberFormat="1" applyFont="1" applyBorder="1" applyAlignment="1">
      <alignment horizontal="left" vertical="center" indent="1"/>
    </xf>
    <xf numFmtId="1" fontId="0" fillId="0" borderId="21" xfId="0" applyNumberFormat="1" applyFont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1" fontId="0" fillId="0" borderId="29" xfId="0" applyNumberFormat="1" applyFont="1" applyFill="1" applyBorder="1" applyAlignment="1" applyProtection="1" quotePrefix="1">
      <alignment horizontal="center" wrapText="1"/>
      <protection/>
    </xf>
    <xf numFmtId="0" fontId="34" fillId="0" borderId="0" xfId="0" applyFont="1" applyBorder="1" applyAlignment="1">
      <alignment horizontal="left"/>
    </xf>
    <xf numFmtId="3" fontId="34" fillId="0" borderId="0" xfId="0" applyNumberFormat="1" applyFont="1" applyBorder="1" applyAlignment="1">
      <alignment horizontal="center"/>
    </xf>
    <xf numFmtId="1" fontId="34" fillId="0" borderId="0" xfId="0" applyNumberFormat="1" applyFont="1" applyBorder="1" applyAlignment="1">
      <alignment horizontal="left"/>
    </xf>
    <xf numFmtId="2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left"/>
    </xf>
    <xf numFmtId="1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 indent="1"/>
    </xf>
    <xf numFmtId="2" fontId="6" fillId="0" borderId="10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/>
    </xf>
    <xf numFmtId="0" fontId="34" fillId="0" borderId="30" xfId="0" applyFont="1" applyFill="1" applyBorder="1" applyAlignment="1">
      <alignment horizontal="left"/>
    </xf>
    <xf numFmtId="173" fontId="0" fillId="33" borderId="11" xfId="0" applyNumberFormat="1" applyFill="1" applyBorder="1" applyAlignment="1" applyProtection="1" quotePrefix="1">
      <alignment horizontal="center" vertical="center" textRotation="90"/>
      <protection/>
    </xf>
    <xf numFmtId="1" fontId="3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4" fillId="0" borderId="3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0" borderId="3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1" fontId="0" fillId="43" borderId="28" xfId="0" applyNumberFormat="1" applyFont="1" applyFill="1" applyBorder="1" applyAlignment="1" applyProtection="1">
      <alignment horizontal="center" wrapText="1"/>
      <protection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vertical="center"/>
      <protection locked="0"/>
    </xf>
    <xf numFmtId="3" fontId="35" fillId="0" borderId="0" xfId="0" applyNumberFormat="1" applyFont="1" applyAlignment="1" applyProtection="1">
      <alignment horizontal="center" vertical="center"/>
      <protection locked="0"/>
    </xf>
    <xf numFmtId="1" fontId="4" fillId="36" borderId="10" xfId="0" applyNumberFormat="1" applyFont="1" applyFill="1" applyBorder="1" applyAlignment="1" applyProtection="1">
      <alignment vertical="center"/>
      <protection locked="0"/>
    </xf>
    <xf numFmtId="1" fontId="81" fillId="0" borderId="28" xfId="0" applyNumberFormat="1" applyFont="1" applyFill="1" applyBorder="1" applyAlignment="1" applyProtection="1" quotePrefix="1">
      <alignment horizontal="center" wrapText="1"/>
      <protection/>
    </xf>
    <xf numFmtId="1" fontId="4" fillId="0" borderId="53" xfId="0" applyNumberFormat="1" applyFont="1" applyBorder="1" applyAlignment="1" applyProtection="1">
      <alignment vertical="center"/>
      <protection locked="0"/>
    </xf>
    <xf numFmtId="2" fontId="0" fillId="0" borderId="30" xfId="0" applyNumberFormat="1" applyFont="1" applyBorder="1" applyAlignment="1">
      <alignment horizontal="left"/>
    </xf>
    <xf numFmtId="2" fontId="34" fillId="0" borderId="0" xfId="0" applyNumberFormat="1" applyFont="1" applyFill="1" applyBorder="1" applyAlignment="1">
      <alignment horizontal="left"/>
    </xf>
    <xf numFmtId="1" fontId="2" fillId="42" borderId="14" xfId="0" applyNumberFormat="1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3" fontId="2" fillId="42" borderId="10" xfId="0" applyNumberFormat="1" applyFont="1" applyFill="1" applyBorder="1" applyAlignment="1">
      <alignment horizontal="center" vertical="center"/>
    </xf>
    <xf numFmtId="1" fontId="4" fillId="36" borderId="28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quotePrefix="1">
      <alignment horizontal="center" vertical="center"/>
    </xf>
    <xf numFmtId="1" fontId="34" fillId="0" borderId="3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center" indent="1"/>
    </xf>
    <xf numFmtId="2" fontId="6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0" fillId="34" borderId="11" xfId="0" applyFont="1" applyFill="1" applyBorder="1" applyAlignment="1">
      <alignment horizontal="left" wrapText="1"/>
    </xf>
    <xf numFmtId="172" fontId="2" fillId="0" borderId="3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" fontId="4" fillId="36" borderId="54" xfId="0" applyNumberFormat="1" applyFont="1" applyFill="1" applyBorder="1" applyAlignment="1" applyProtection="1">
      <alignment vertical="center" wrapText="1"/>
      <protection/>
    </xf>
    <xf numFmtId="1" fontId="4" fillId="36" borderId="21" xfId="0" applyNumberFormat="1" applyFont="1" applyFill="1" applyBorder="1" applyAlignment="1" applyProtection="1">
      <alignment horizontal="left" vertical="center" wrapText="1"/>
      <protection/>
    </xf>
    <xf numFmtId="1" fontId="4" fillId="36" borderId="32" xfId="0" applyNumberFormat="1" applyFont="1" applyFill="1" applyBorder="1" applyAlignment="1" applyProtection="1">
      <alignment vertical="center" wrapText="1"/>
      <protection/>
    </xf>
    <xf numFmtId="1" fontId="4" fillId="36" borderId="5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1" fontId="4" fillId="36" borderId="3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 indent="1"/>
    </xf>
    <xf numFmtId="0" fontId="8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44" borderId="57" xfId="0" applyFont="1" applyFill="1" applyBorder="1" applyAlignment="1">
      <alignment horizontal="center" vertical="center"/>
    </xf>
    <xf numFmtId="0" fontId="5" fillId="44" borderId="58" xfId="0" applyFont="1" applyFill="1" applyBorder="1" applyAlignment="1">
      <alignment horizontal="center" vertical="center"/>
    </xf>
    <xf numFmtId="0" fontId="5" fillId="44" borderId="59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1" fontId="2" fillId="42" borderId="64" xfId="0" applyNumberFormat="1" applyFont="1" applyFill="1" applyBorder="1" applyAlignment="1">
      <alignment horizontal="center" vertical="center"/>
    </xf>
    <xf numFmtId="1" fontId="2" fillId="42" borderId="65" xfId="0" applyNumberFormat="1" applyFont="1" applyFill="1" applyBorder="1" applyAlignment="1">
      <alignment horizontal="center" vertical="center"/>
    </xf>
    <xf numFmtId="1" fontId="2" fillId="42" borderId="66" xfId="0" applyNumberFormat="1" applyFont="1" applyFill="1" applyBorder="1" applyAlignment="1">
      <alignment horizontal="center" vertical="center"/>
    </xf>
    <xf numFmtId="2" fontId="2" fillId="42" borderId="11" xfId="0" applyNumberFormat="1" applyFont="1" applyFill="1" applyBorder="1" applyAlignment="1">
      <alignment horizontal="center" vertical="center"/>
    </xf>
    <xf numFmtId="2" fontId="2" fillId="42" borderId="61" xfId="0" applyNumberFormat="1" applyFont="1" applyFill="1" applyBorder="1" applyAlignment="1">
      <alignment horizontal="center" vertical="center"/>
    </xf>
    <xf numFmtId="2" fontId="2" fillId="42" borderId="21" xfId="0" applyNumberFormat="1" applyFont="1" applyFill="1" applyBorder="1" applyAlignment="1">
      <alignment horizontal="center" vertical="center"/>
    </xf>
    <xf numFmtId="1" fontId="0" fillId="0" borderId="67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1" fontId="0" fillId="0" borderId="6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2" fillId="45" borderId="68" xfId="0" applyFont="1" applyFill="1" applyBorder="1" applyAlignment="1">
      <alignment horizontal="center" vertical="center"/>
    </xf>
    <xf numFmtId="0" fontId="42" fillId="45" borderId="69" xfId="0" applyFont="1" applyFill="1" applyBorder="1" applyAlignment="1">
      <alignment horizontal="center" vertical="center"/>
    </xf>
    <xf numFmtId="0" fontId="42" fillId="45" borderId="70" xfId="0" applyFont="1" applyFill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55" fillId="0" borderId="28" xfId="0" applyFont="1" applyBorder="1" applyAlignment="1">
      <alignment vertical="center"/>
    </xf>
    <xf numFmtId="0" fontId="42" fillId="45" borderId="28" xfId="0" applyFont="1" applyFill="1" applyBorder="1" applyAlignment="1">
      <alignment horizontal="center" vertical="center"/>
    </xf>
    <xf numFmtId="16" fontId="42" fillId="45" borderId="28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</cellXfs>
  <cellStyles count="48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18</xdr:row>
      <xdr:rowOff>104775</xdr:rowOff>
    </xdr:from>
    <xdr:to>
      <xdr:col>15</xdr:col>
      <xdr:colOff>476250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4543425"/>
          <a:ext cx="1562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431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717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</xdr:row>
      <xdr:rowOff>38100</xdr:rowOff>
    </xdr:from>
    <xdr:to>
      <xdr:col>13</xdr:col>
      <xdr:colOff>542925</xdr:colOff>
      <xdr:row>10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7905750" y="19907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104775</xdr:rowOff>
    </xdr:from>
    <xdr:to>
      <xdr:col>1</xdr:col>
      <xdr:colOff>1066800</xdr:colOff>
      <xdr:row>1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28</xdr:row>
      <xdr:rowOff>0</xdr:rowOff>
    </xdr:from>
    <xdr:to>
      <xdr:col>10</xdr:col>
      <xdr:colOff>390525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67450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390525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6267450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390525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6267450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</xdr:row>
      <xdr:rowOff>38100</xdr:rowOff>
    </xdr:from>
    <xdr:to>
      <xdr:col>13</xdr:col>
      <xdr:colOff>542925</xdr:colOff>
      <xdr:row>10</xdr:row>
      <xdr:rowOff>38100</xdr:rowOff>
    </xdr:to>
    <xdr:sp>
      <xdr:nvSpPr>
        <xdr:cNvPr id="6" name="AutoShape 1"/>
        <xdr:cNvSpPr>
          <a:spLocks/>
        </xdr:cNvSpPr>
      </xdr:nvSpPr>
      <xdr:spPr>
        <a:xfrm>
          <a:off x="7905750" y="19907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1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152400</xdr:rowOff>
    </xdr:from>
    <xdr:to>
      <xdr:col>1</xdr:col>
      <xdr:colOff>1028700</xdr:colOff>
      <xdr:row>1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667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13</xdr:col>
      <xdr:colOff>457200</xdr:colOff>
      <xdr:row>21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457200</xdr:colOff>
      <xdr:row>21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457200</xdr:colOff>
      <xdr:row>21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66675</xdr:rowOff>
    </xdr:from>
    <xdr:to>
      <xdr:col>0</xdr:col>
      <xdr:colOff>1181100</xdr:colOff>
      <xdr:row>1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733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38100</xdr:rowOff>
    </xdr:from>
    <xdr:to>
      <xdr:col>0</xdr:col>
      <xdr:colOff>1200150</xdr:colOff>
      <xdr:row>1</xdr:row>
      <xdr:rowOff>333375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104775</xdr:rowOff>
    </xdr:from>
    <xdr:to>
      <xdr:col>1</xdr:col>
      <xdr:colOff>704850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524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</xdr:row>
      <xdr:rowOff>114300</xdr:rowOff>
    </xdr:from>
    <xdr:to>
      <xdr:col>6</xdr:col>
      <xdr:colOff>828675</xdr:colOff>
      <xdr:row>1</xdr:row>
      <xdr:rowOff>628650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619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KMM1\Documents\Inngolf\InnGolf%202014\InnGolf%20Turkish%20Invitatio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 FINAL"/>
    </sheetNames>
    <sheetDataSet>
      <sheetData sheetId="0">
        <row r="10">
          <cell r="A10" t="str">
            <v>Jan Hegner</v>
          </cell>
          <cell r="B10">
            <v>12.4</v>
          </cell>
          <cell r="C10">
            <v>24</v>
          </cell>
          <cell r="D10">
            <v>29</v>
          </cell>
          <cell r="E10">
            <v>27</v>
          </cell>
          <cell r="F10">
            <v>80</v>
          </cell>
          <cell r="G10">
            <v>7</v>
          </cell>
        </row>
        <row r="11">
          <cell r="A11" t="str">
            <v>Karsten Valeur</v>
          </cell>
          <cell r="B11">
            <v>14.2</v>
          </cell>
          <cell r="C11">
            <v>26</v>
          </cell>
          <cell r="D11">
            <v>23</v>
          </cell>
          <cell r="E11">
            <v>31</v>
          </cell>
          <cell r="F11">
            <v>80</v>
          </cell>
          <cell r="G11">
            <v>8</v>
          </cell>
        </row>
        <row r="12">
          <cell r="A12" t="str">
            <v>Jesper Vohs Nielsen</v>
          </cell>
          <cell r="B12">
            <v>13.8</v>
          </cell>
          <cell r="C12">
            <v>28</v>
          </cell>
          <cell r="D12">
            <v>30</v>
          </cell>
          <cell r="E12">
            <v>20</v>
          </cell>
          <cell r="F12">
            <v>78</v>
          </cell>
          <cell r="G12">
            <v>9</v>
          </cell>
        </row>
        <row r="13">
          <cell r="A13" t="str">
            <v>Henning B. Nielsen</v>
          </cell>
          <cell r="B13">
            <v>14.6</v>
          </cell>
          <cell r="C13">
            <v>27</v>
          </cell>
          <cell r="D13">
            <v>22</v>
          </cell>
          <cell r="E13">
            <v>27</v>
          </cell>
          <cell r="F13">
            <v>76</v>
          </cell>
          <cell r="G13">
            <v>10</v>
          </cell>
        </row>
        <row r="14">
          <cell r="A14" t="str">
            <v>Morten Clausen</v>
          </cell>
          <cell r="B14">
            <v>18</v>
          </cell>
          <cell r="C14">
            <v>25</v>
          </cell>
          <cell r="D14">
            <v>22</v>
          </cell>
          <cell r="E14">
            <v>28</v>
          </cell>
          <cell r="F14">
            <v>75</v>
          </cell>
          <cell r="G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B1:Q30"/>
  <sheetViews>
    <sheetView zoomScalePageLayoutView="0" workbookViewId="0" topLeftCell="B1">
      <selection activeCell="C3" sqref="C3"/>
    </sheetView>
  </sheetViews>
  <sheetFormatPr defaultColWidth="9.140625" defaultRowHeight="12.75"/>
  <cols>
    <col min="1" max="1" width="0" style="1" hidden="1" customWidth="1"/>
    <col min="2" max="2" width="4.7109375" style="1" customWidth="1"/>
    <col min="3" max="3" width="20.28125" style="2" customWidth="1"/>
    <col min="4" max="4" width="6.8515625" style="3" customWidth="1"/>
    <col min="5" max="5" width="5.421875" style="3" customWidth="1"/>
    <col min="6" max="6" width="4.7109375" style="1" customWidth="1"/>
    <col min="7" max="7" width="20.28125" style="1" customWidth="1"/>
    <col min="8" max="8" width="12.421875" style="4" customWidth="1"/>
    <col min="9" max="9" width="5.421875" style="1" customWidth="1"/>
    <col min="10" max="10" width="4.7109375" style="1" customWidth="1"/>
    <col min="11" max="11" width="20.28125" style="1" customWidth="1"/>
    <col min="12" max="12" width="8.140625" style="5" customWidth="1"/>
    <col min="13" max="13" width="5.7109375" style="1" customWidth="1"/>
    <col min="14" max="14" width="4.7109375" style="1" customWidth="1"/>
    <col min="15" max="15" width="14.421875" style="1" customWidth="1"/>
    <col min="16" max="16" width="9.7109375" style="5" customWidth="1"/>
    <col min="17" max="16384" width="9.140625" style="1" customWidth="1"/>
  </cols>
  <sheetData>
    <row r="1" spans="2:16" ht="43.5" customHeight="1">
      <c r="B1" s="441" t="s">
        <v>173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</row>
    <row r="2" spans="2:16" s="6" customFormat="1" ht="18" customHeight="1" thickBot="1">
      <c r="B2" s="442" t="s">
        <v>0</v>
      </c>
      <c r="C2" s="443"/>
      <c r="D2" s="444"/>
      <c r="E2" s="7"/>
      <c r="F2" s="442" t="s">
        <v>1</v>
      </c>
      <c r="G2" s="443"/>
      <c r="H2" s="444"/>
      <c r="J2" s="442" t="s">
        <v>2</v>
      </c>
      <c r="K2" s="443"/>
      <c r="L2" s="444"/>
      <c r="N2" s="442" t="s">
        <v>3</v>
      </c>
      <c r="O2" s="443"/>
      <c r="P2" s="444"/>
    </row>
    <row r="3" spans="2:16" ht="18" customHeight="1">
      <c r="B3" s="274">
        <v>1</v>
      </c>
      <c r="C3" s="275" t="str">
        <f>Point!B3</f>
        <v>Jan H</v>
      </c>
      <c r="D3" s="276">
        <f>Point!C3</f>
        <v>126</v>
      </c>
      <c r="E3" s="57"/>
      <c r="F3" s="277">
        <v>1</v>
      </c>
      <c r="G3" s="278" t="str">
        <f>Money!B3</f>
        <v>Jan H</v>
      </c>
      <c r="H3" s="279">
        <f>Money!C3</f>
        <v>24700000</v>
      </c>
      <c r="I3" s="57"/>
      <c r="J3" s="277">
        <v>1</v>
      </c>
      <c r="K3" s="356" t="str">
        <f>Puts!B3</f>
        <v>Robin T</v>
      </c>
      <c r="L3" s="357">
        <f>Puts!C3</f>
        <v>30.11111111111111</v>
      </c>
      <c r="M3" s="57"/>
      <c r="N3" s="277">
        <v>1</v>
      </c>
      <c r="O3" s="365" t="str">
        <f>'Tæt-flag'!B3</f>
        <v>Karsten V</v>
      </c>
      <c r="P3" s="357">
        <f>'Tæt-flag'!C3</f>
        <v>0.15</v>
      </c>
    </row>
    <row r="4" spans="2:16" ht="18" customHeight="1">
      <c r="B4" s="280">
        <v>2</v>
      </c>
      <c r="C4" s="281" t="str">
        <f>Point!B4</f>
        <v>Børge H</v>
      </c>
      <c r="D4" s="282">
        <f>Point!C4</f>
        <v>118</v>
      </c>
      <c r="E4" s="57"/>
      <c r="F4" s="283">
        <v>2</v>
      </c>
      <c r="G4" s="284" t="str">
        <f>Money!B4</f>
        <v>Jens L</v>
      </c>
      <c r="H4" s="285">
        <f>Money!C4</f>
        <v>22570000</v>
      </c>
      <c r="I4" s="57"/>
      <c r="J4" s="283">
        <v>2</v>
      </c>
      <c r="K4" s="358" t="str">
        <f>Puts!B4</f>
        <v>Jan H</v>
      </c>
      <c r="L4" s="359">
        <f>Puts!C4</f>
        <v>30.5</v>
      </c>
      <c r="M4" s="57"/>
      <c r="N4" s="283">
        <v>2</v>
      </c>
      <c r="O4" s="375" t="str">
        <f>'Tæt-flag'!B4</f>
        <v>Claus J</v>
      </c>
      <c r="P4" s="359">
        <f>'Tæt-flag'!C4</f>
        <v>0.16</v>
      </c>
    </row>
    <row r="5" spans="2:16" ht="18" customHeight="1" thickBot="1">
      <c r="B5" s="286">
        <v>3</v>
      </c>
      <c r="C5" s="287" t="str">
        <f>Point!B5</f>
        <v>Jens L</v>
      </c>
      <c r="D5" s="288">
        <f>Point!C5</f>
        <v>115</v>
      </c>
      <c r="E5" s="57"/>
      <c r="F5" s="289">
        <v>3</v>
      </c>
      <c r="G5" s="290" t="str">
        <f>Money!B5</f>
        <v>Børge H</v>
      </c>
      <c r="H5" s="291">
        <f>Money!C5</f>
        <v>20880000</v>
      </c>
      <c r="I5" s="57"/>
      <c r="J5" s="289">
        <v>3</v>
      </c>
      <c r="K5" s="360" t="str">
        <f>Puts!B5</f>
        <v>Børge H</v>
      </c>
      <c r="L5" s="361">
        <f>Puts!C5</f>
        <v>30.61111111111111</v>
      </c>
      <c r="M5" s="57"/>
      <c r="N5" s="289">
        <v>3</v>
      </c>
      <c r="O5" s="376" t="str">
        <f>'Tæt-flag'!B5</f>
        <v>Jens L</v>
      </c>
      <c r="P5" s="361">
        <f>'Tæt-flag'!C5</f>
        <v>0.28</v>
      </c>
    </row>
    <row r="6" spans="2:16" ht="18" customHeight="1">
      <c r="B6" s="292">
        <v>4</v>
      </c>
      <c r="C6" s="293" t="str">
        <f>Point!B6</f>
        <v>Carsten D</v>
      </c>
      <c r="D6" s="294">
        <f>Point!C6</f>
        <v>95</v>
      </c>
      <c r="E6" s="57"/>
      <c r="F6" s="295">
        <v>4</v>
      </c>
      <c r="G6" s="296" t="str">
        <f>Money!B6</f>
        <v>Carsten D</v>
      </c>
      <c r="H6" s="297">
        <f>Money!C6</f>
        <v>17360000</v>
      </c>
      <c r="I6" s="57"/>
      <c r="J6" s="295">
        <v>4</v>
      </c>
      <c r="K6" s="362" t="str">
        <f>Puts!B6</f>
        <v>Erik P</v>
      </c>
      <c r="L6" s="363">
        <f>Puts!C6</f>
        <v>30.88888888888889</v>
      </c>
      <c r="M6" s="57"/>
      <c r="N6" s="295">
        <v>4</v>
      </c>
      <c r="O6" s="377" t="str">
        <f>'Tæt-flag'!B6</f>
        <v>Henning BN</v>
      </c>
      <c r="P6" s="363">
        <f>'Tæt-flag'!C6</f>
        <v>1.09</v>
      </c>
    </row>
    <row r="7" spans="2:16" ht="18" customHeight="1">
      <c r="B7" s="298">
        <v>5</v>
      </c>
      <c r="C7" s="293" t="str">
        <f>Point!B7</f>
        <v>Robin T</v>
      </c>
      <c r="D7" s="294">
        <f>Point!C7</f>
        <v>84</v>
      </c>
      <c r="E7" s="57"/>
      <c r="F7" s="299">
        <v>5</v>
      </c>
      <c r="G7" s="296" t="str">
        <f>Money!B7</f>
        <v>Robin T</v>
      </c>
      <c r="H7" s="297">
        <f>Money!C7</f>
        <v>16790000</v>
      </c>
      <c r="I7" s="57"/>
      <c r="J7" s="299">
        <v>5</v>
      </c>
      <c r="K7" s="358" t="str">
        <f>Puts!B7</f>
        <v>Jakob K</v>
      </c>
      <c r="L7" s="364">
        <f>Puts!C7</f>
        <v>31.61111111111111</v>
      </c>
      <c r="M7" s="57"/>
      <c r="N7" s="299">
        <v>5</v>
      </c>
      <c r="O7" s="375" t="str">
        <f>'Tæt-flag'!B7</f>
        <v>John S</v>
      </c>
      <c r="P7" s="364">
        <f>'Tæt-flag'!C7</f>
        <v>1.16</v>
      </c>
    </row>
    <row r="8" spans="2:16" ht="18" customHeight="1">
      <c r="B8" s="298">
        <v>6</v>
      </c>
      <c r="C8" s="293" t="str">
        <f>Point!B8</f>
        <v>Erik P</v>
      </c>
      <c r="D8" s="294">
        <f>Point!C8</f>
        <v>77</v>
      </c>
      <c r="E8" s="57"/>
      <c r="F8" s="299">
        <v>6</v>
      </c>
      <c r="G8" s="296" t="str">
        <f>Money!B8</f>
        <v>Jakob K</v>
      </c>
      <c r="H8" s="297">
        <f>Money!C8</f>
        <v>14640000</v>
      </c>
      <c r="I8" s="57"/>
      <c r="J8" s="299">
        <v>6</v>
      </c>
      <c r="K8" s="362" t="str">
        <f>Puts!B8</f>
        <v>Jens L</v>
      </c>
      <c r="L8" s="363">
        <f>Puts!C8</f>
        <v>31.88888888888889</v>
      </c>
      <c r="M8" s="57"/>
      <c r="N8" s="299">
        <v>6</v>
      </c>
      <c r="O8" s="375" t="str">
        <f>'Tæt-flag'!B8</f>
        <v>Robin T</v>
      </c>
      <c r="P8" s="364">
        <f>'Tæt-flag'!C8</f>
        <v>1.38</v>
      </c>
    </row>
    <row r="9" spans="2:16" ht="18" customHeight="1">
      <c r="B9" s="298">
        <v>7</v>
      </c>
      <c r="C9" s="293" t="str">
        <f>Point!B9</f>
        <v>Jakob K</v>
      </c>
      <c r="D9" s="294">
        <f>Point!C9</f>
        <v>75</v>
      </c>
      <c r="E9" s="57"/>
      <c r="F9" s="299">
        <v>7</v>
      </c>
      <c r="G9" s="296" t="str">
        <f>Money!B9</f>
        <v>Erik P</v>
      </c>
      <c r="H9" s="297">
        <f>Money!C9</f>
        <v>14540000</v>
      </c>
      <c r="I9" s="57"/>
      <c r="J9" s="299">
        <v>7</v>
      </c>
      <c r="K9" s="358" t="str">
        <f>Puts!B9</f>
        <v>Jesper VN</v>
      </c>
      <c r="L9" s="364">
        <f>Puts!C9</f>
        <v>33.05555555555556</v>
      </c>
      <c r="M9" s="57"/>
      <c r="N9" s="299">
        <v>7</v>
      </c>
      <c r="O9" s="375" t="str">
        <f>'Tæt-flag'!B9</f>
        <v>Bo H</v>
      </c>
      <c r="P9" s="364">
        <f>'Tæt-flag'!C9</f>
        <v>1.55</v>
      </c>
    </row>
    <row r="10" spans="2:16" ht="18" customHeight="1">
      <c r="B10" s="298">
        <v>8</v>
      </c>
      <c r="C10" s="293" t="str">
        <f>Point!B10</f>
        <v>John S</v>
      </c>
      <c r="D10" s="294">
        <f>Point!C10</f>
        <v>65</v>
      </c>
      <c r="E10" s="57"/>
      <c r="F10" s="299">
        <v>8</v>
      </c>
      <c r="G10" s="296" t="str">
        <f>Money!B10</f>
        <v>John S</v>
      </c>
      <c r="H10" s="297">
        <f>Money!C10</f>
        <v>11610000</v>
      </c>
      <c r="I10" s="57"/>
      <c r="J10" s="299">
        <v>8</v>
      </c>
      <c r="K10" s="362" t="str">
        <f>Puts!B10</f>
        <v>Karsten V</v>
      </c>
      <c r="L10" s="363">
        <f>Puts!C10</f>
        <v>33.22222222222222</v>
      </c>
      <c r="M10" s="57"/>
      <c r="N10" s="299">
        <v>8</v>
      </c>
      <c r="O10" s="375" t="str">
        <f>'Tæt-flag'!B10</f>
        <v>Carsten L</v>
      </c>
      <c r="P10" s="364">
        <f>'Tæt-flag'!C10</f>
        <v>1.7</v>
      </c>
    </row>
    <row r="11" spans="2:16" ht="18" customHeight="1">
      <c r="B11" s="298">
        <v>9</v>
      </c>
      <c r="C11" s="293" t="str">
        <f>Point!B11</f>
        <v>Steen N</v>
      </c>
      <c r="D11" s="294">
        <f>Point!C11</f>
        <v>61</v>
      </c>
      <c r="E11" s="57"/>
      <c r="F11" s="299">
        <v>9</v>
      </c>
      <c r="G11" s="296" t="str">
        <f>Money!B11</f>
        <v>Karsten V</v>
      </c>
      <c r="H11" s="297">
        <f>Money!C11</f>
        <v>10950000</v>
      </c>
      <c r="I11" s="57"/>
      <c r="J11" s="299">
        <v>9</v>
      </c>
      <c r="K11" s="358" t="str">
        <f>Puts!B11</f>
        <v>Carsten L</v>
      </c>
      <c r="L11" s="364">
        <f>Puts!C11</f>
        <v>33.388888888888886</v>
      </c>
      <c r="M11" s="57"/>
      <c r="N11" s="299">
        <v>9</v>
      </c>
      <c r="O11" s="375" t="str">
        <f>'Tæt-flag'!B11</f>
        <v>Hans M</v>
      </c>
      <c r="P11" s="364">
        <f>'Tæt-flag'!C11</f>
        <v>2.01</v>
      </c>
    </row>
    <row r="12" spans="2:16" ht="18" customHeight="1">
      <c r="B12" s="298">
        <v>10</v>
      </c>
      <c r="C12" s="293" t="str">
        <f>Point!B12</f>
        <v>Torben J</v>
      </c>
      <c r="D12" s="294">
        <f>Point!C12</f>
        <v>60</v>
      </c>
      <c r="E12" s="57"/>
      <c r="F12" s="299">
        <v>10</v>
      </c>
      <c r="G12" s="296" t="str">
        <f>Money!B12</f>
        <v>Morten C</v>
      </c>
      <c r="H12" s="297">
        <f>Money!C12</f>
        <v>10690000</v>
      </c>
      <c r="I12" s="57"/>
      <c r="J12" s="299">
        <v>10</v>
      </c>
      <c r="K12" s="362" t="str">
        <f>Puts!B12</f>
        <v>Carsten D</v>
      </c>
      <c r="L12" s="363">
        <f>Puts!C12</f>
        <v>33.5</v>
      </c>
      <c r="M12" s="57"/>
      <c r="N12" s="299">
        <v>10</v>
      </c>
      <c r="O12" s="375" t="str">
        <f>'Tæt-flag'!B12</f>
        <v>Jakob K</v>
      </c>
      <c r="P12" s="364">
        <f>'Tæt-flag'!C12</f>
        <v>2.01</v>
      </c>
    </row>
    <row r="13" spans="2:16" ht="18" customHeight="1">
      <c r="B13" s="298">
        <v>11</v>
      </c>
      <c r="C13" s="293" t="str">
        <f>Point!B13</f>
        <v>Karsten V</v>
      </c>
      <c r="D13" s="294">
        <f>Point!C13</f>
        <v>55</v>
      </c>
      <c r="E13" s="57"/>
      <c r="F13" s="299">
        <v>11</v>
      </c>
      <c r="G13" s="296" t="str">
        <f>Money!B13</f>
        <v>Torben J</v>
      </c>
      <c r="H13" s="297">
        <f>Money!C13</f>
        <v>10330000</v>
      </c>
      <c r="I13" s="57"/>
      <c r="J13" s="299">
        <v>11</v>
      </c>
      <c r="K13" s="358" t="str">
        <f>Puts!B13</f>
        <v>Morten C</v>
      </c>
      <c r="L13" s="364">
        <f>Puts!C13</f>
        <v>33.5</v>
      </c>
      <c r="M13" s="57"/>
      <c r="N13" s="300"/>
      <c r="O13" s="301"/>
      <c r="P13" s="302"/>
    </row>
    <row r="14" spans="2:16" ht="18" customHeight="1">
      <c r="B14" s="298">
        <v>12</v>
      </c>
      <c r="C14" s="293" t="str">
        <f>Point!B14</f>
        <v>Bo H</v>
      </c>
      <c r="D14" s="294">
        <f>Point!C14</f>
        <v>53</v>
      </c>
      <c r="E14" s="57"/>
      <c r="F14" s="299">
        <v>12</v>
      </c>
      <c r="G14" s="296" t="str">
        <f>Money!B14</f>
        <v>Steen N</v>
      </c>
      <c r="H14" s="297">
        <f>Money!C14</f>
        <v>10090000</v>
      </c>
      <c r="I14" s="57"/>
      <c r="J14" s="299">
        <v>12</v>
      </c>
      <c r="K14" s="362" t="str">
        <f>Puts!B14</f>
        <v>Bo H</v>
      </c>
      <c r="L14" s="363">
        <f>Puts!C14</f>
        <v>33.94444444444444</v>
      </c>
      <c r="M14" s="57"/>
      <c r="N14" s="445" t="s">
        <v>4</v>
      </c>
      <c r="O14" s="446"/>
      <c r="P14" s="447"/>
    </row>
    <row r="15" spans="2:16" ht="18" customHeight="1">
      <c r="B15" s="298">
        <v>13</v>
      </c>
      <c r="C15" s="293" t="str">
        <f>Point!B15</f>
        <v>Morten C</v>
      </c>
      <c r="D15" s="294">
        <f>Point!C15</f>
        <v>53</v>
      </c>
      <c r="E15" s="57"/>
      <c r="F15" s="299">
        <v>13</v>
      </c>
      <c r="G15" s="296" t="str">
        <f>Money!B15</f>
        <v>Bo H</v>
      </c>
      <c r="H15" s="297">
        <f>Money!C15</f>
        <v>9790000</v>
      </c>
      <c r="I15" s="57"/>
      <c r="J15" s="299">
        <v>13</v>
      </c>
      <c r="K15" s="358" t="str">
        <f>Puts!B15</f>
        <v>Steen N</v>
      </c>
      <c r="L15" s="364">
        <f>Puts!C15</f>
        <v>34.166666666666664</v>
      </c>
      <c r="M15" s="57"/>
      <c r="N15" s="303">
        <v>1</v>
      </c>
      <c r="O15" s="388" t="str">
        <f>'Tæt-flag'!G3</f>
        <v>Karsten V</v>
      </c>
      <c r="P15" s="389" t="str">
        <f>'Tæt-flag'!H3</f>
        <v>Henne</v>
      </c>
    </row>
    <row r="16" spans="2:16" ht="18" customHeight="1">
      <c r="B16" s="298">
        <v>14</v>
      </c>
      <c r="C16" s="293" t="str">
        <f>Point!B16</f>
        <v>Jesper VN</v>
      </c>
      <c r="D16" s="294">
        <f>Point!C16</f>
        <v>48</v>
      </c>
      <c r="E16" s="57"/>
      <c r="F16" s="299">
        <v>14</v>
      </c>
      <c r="G16" s="296" t="str">
        <f>Money!B16</f>
        <v>Jesper VN</v>
      </c>
      <c r="H16" s="297">
        <f>Money!C16</f>
        <v>8930000</v>
      </c>
      <c r="I16" s="57"/>
      <c r="J16" s="299">
        <v>14</v>
      </c>
      <c r="K16" s="362" t="str">
        <f>Puts!B16</f>
        <v>Ole M</v>
      </c>
      <c r="L16" s="363">
        <f>Puts!C16</f>
        <v>34.388888888888886</v>
      </c>
      <c r="M16" s="57"/>
      <c r="N16" s="304">
        <v>2</v>
      </c>
      <c r="O16" s="415" t="str">
        <f>'Tæt-flag'!G4</f>
        <v>Jens L</v>
      </c>
      <c r="P16" s="416" t="str">
        <f>'Tæt-flag'!H4</f>
        <v>Vejen</v>
      </c>
    </row>
    <row r="17" spans="2:16" ht="18" customHeight="1">
      <c r="B17" s="298">
        <v>15</v>
      </c>
      <c r="C17" s="293" t="str">
        <f>Point!B17</f>
        <v>Carsten L</v>
      </c>
      <c r="D17" s="294">
        <f>Point!C17</f>
        <v>48</v>
      </c>
      <c r="E17" s="57"/>
      <c r="F17" s="299">
        <v>15</v>
      </c>
      <c r="G17" s="296" t="str">
        <f>Money!B17</f>
        <v>Carsten L</v>
      </c>
      <c r="H17" s="297">
        <f>Money!C17</f>
        <v>8800000</v>
      </c>
      <c r="I17" s="57"/>
      <c r="J17" s="299">
        <v>15</v>
      </c>
      <c r="K17" s="358" t="str">
        <f>Puts!B17</f>
        <v>Torben J</v>
      </c>
      <c r="L17" s="364">
        <f>Puts!C17</f>
        <v>34.55555555555556</v>
      </c>
      <c r="M17" s="57"/>
      <c r="N17" s="304">
        <v>3</v>
      </c>
      <c r="O17" s="352">
        <f>'Tæt-flag'!G5</f>
        <v>0</v>
      </c>
      <c r="P17" s="353">
        <f>'Tæt-flag'!H5</f>
        <v>0</v>
      </c>
    </row>
    <row r="18" spans="2:16" ht="18" customHeight="1">
      <c r="B18" s="298">
        <v>16</v>
      </c>
      <c r="C18" s="293" t="str">
        <f>Point!B18</f>
        <v>Per N</v>
      </c>
      <c r="D18" s="294">
        <f>Point!C18</f>
        <v>43</v>
      </c>
      <c r="E18" s="57"/>
      <c r="F18" s="299">
        <v>16</v>
      </c>
      <c r="G18" s="296" t="str">
        <f>Money!B18</f>
        <v>Per N</v>
      </c>
      <c r="H18" s="297">
        <f>Money!C18</f>
        <v>6980000</v>
      </c>
      <c r="I18" s="57"/>
      <c r="J18" s="299">
        <v>16</v>
      </c>
      <c r="K18" s="362" t="str">
        <f>Puts!B18</f>
        <v>John S</v>
      </c>
      <c r="L18" s="363">
        <f>Puts!C18</f>
        <v>35.22222222222222</v>
      </c>
      <c r="M18" s="57"/>
      <c r="N18" s="57"/>
      <c r="O18" s="57"/>
      <c r="P18" s="57"/>
    </row>
    <row r="19" spans="2:16" ht="18" customHeight="1">
      <c r="B19" s="298">
        <v>17</v>
      </c>
      <c r="C19" s="293" t="str">
        <f>Point!B19</f>
        <v>Martin A</v>
      </c>
      <c r="D19" s="294">
        <f>Point!C19</f>
        <v>34</v>
      </c>
      <c r="E19" s="57"/>
      <c r="F19" s="299">
        <v>17</v>
      </c>
      <c r="G19" s="296" t="str">
        <f>Money!B19</f>
        <v>Henning V</v>
      </c>
      <c r="H19" s="297">
        <f>Money!C19</f>
        <v>6930000</v>
      </c>
      <c r="I19" s="57"/>
      <c r="J19" s="299">
        <v>17</v>
      </c>
      <c r="K19" s="358" t="str">
        <f>Puts!B19</f>
        <v>Henning B</v>
      </c>
      <c r="L19" s="364">
        <f>Puts!C19</f>
        <v>35.5</v>
      </c>
      <c r="M19" s="57"/>
      <c r="N19" s="300"/>
      <c r="O19" s="301"/>
      <c r="P19" s="302"/>
    </row>
    <row r="20" spans="2:16" ht="18" customHeight="1">
      <c r="B20" s="298">
        <v>18</v>
      </c>
      <c r="C20" s="293" t="str">
        <f>Point!B20</f>
        <v>Henning V</v>
      </c>
      <c r="D20" s="294">
        <f>Point!C20</f>
        <v>33</v>
      </c>
      <c r="E20" s="57"/>
      <c r="F20" s="299">
        <v>18</v>
      </c>
      <c r="G20" s="296" t="str">
        <f>Money!B20</f>
        <v>Martin A</v>
      </c>
      <c r="H20" s="297">
        <f>Money!C20</f>
        <v>6100000</v>
      </c>
      <c r="I20" s="57"/>
      <c r="J20" s="299">
        <v>18</v>
      </c>
      <c r="K20" s="362" t="str">
        <f>Puts!B20</f>
        <v>Henning V</v>
      </c>
      <c r="L20" s="363">
        <f>Puts!C20</f>
        <v>36.22222222222222</v>
      </c>
      <c r="M20" s="57"/>
      <c r="N20" s="300"/>
      <c r="O20" s="301"/>
      <c r="P20" s="302"/>
    </row>
    <row r="21" spans="2:16" ht="18" customHeight="1">
      <c r="B21" s="298">
        <v>19</v>
      </c>
      <c r="C21" s="293" t="str">
        <f>Point!B21</f>
        <v>Henning B</v>
      </c>
      <c r="D21" s="294">
        <f>Point!C21</f>
        <v>25</v>
      </c>
      <c r="E21" s="57"/>
      <c r="F21" s="299">
        <v>19</v>
      </c>
      <c r="G21" s="296" t="str">
        <f>Money!B21</f>
        <v>Ole M</v>
      </c>
      <c r="H21" s="297">
        <f>Money!C21</f>
        <v>5620000</v>
      </c>
      <c r="I21" s="57"/>
      <c r="J21" s="299">
        <v>19</v>
      </c>
      <c r="K21" s="358" t="str">
        <f>Puts!B21</f>
        <v>Hans MV</v>
      </c>
      <c r="L21" s="364">
        <f>Puts!C21</f>
        <v>36.22222222222222</v>
      </c>
      <c r="M21" s="57"/>
      <c r="N21" s="164"/>
      <c r="O21" s="164"/>
      <c r="P21" s="164"/>
    </row>
    <row r="22" spans="2:16" ht="18" customHeight="1">
      <c r="B22" s="298">
        <v>20</v>
      </c>
      <c r="C22" s="293" t="str">
        <f>Point!B22</f>
        <v>Ole M</v>
      </c>
      <c r="D22" s="294">
        <f>Point!C22</f>
        <v>23</v>
      </c>
      <c r="E22" s="57"/>
      <c r="F22" s="299">
        <v>20</v>
      </c>
      <c r="G22" s="296" t="str">
        <f>Money!B22</f>
        <v>Henning B</v>
      </c>
      <c r="H22" s="297">
        <f>Money!C22</f>
        <v>5530000</v>
      </c>
      <c r="I22" s="57"/>
      <c r="J22" s="299">
        <v>20</v>
      </c>
      <c r="K22" s="362" t="str">
        <f>Puts!B22</f>
        <v>Martin A</v>
      </c>
      <c r="L22" s="363">
        <f>Puts!C22</f>
        <v>36.333333333333336</v>
      </c>
      <c r="M22" s="57"/>
      <c r="N22" s="305"/>
      <c r="O22" s="306"/>
      <c r="P22" s="307"/>
    </row>
    <row r="23" spans="2:16" ht="18" customHeight="1">
      <c r="B23" s="298">
        <v>21</v>
      </c>
      <c r="C23" s="293" t="str">
        <f>Point!B23</f>
        <v>Claus J</v>
      </c>
      <c r="D23" s="294">
        <f>Point!C23</f>
        <v>16</v>
      </c>
      <c r="E23" s="57"/>
      <c r="F23" s="299">
        <v>21</v>
      </c>
      <c r="G23" s="296" t="str">
        <f>Money!B23</f>
        <v>Claus J</v>
      </c>
      <c r="H23" s="297">
        <f>Money!C23</f>
        <v>4410000</v>
      </c>
      <c r="I23" s="57"/>
      <c r="J23" s="299">
        <v>21</v>
      </c>
      <c r="K23" s="358" t="str">
        <f>Puts!B23</f>
        <v>Finn EC</v>
      </c>
      <c r="L23" s="364">
        <f>Puts!C23</f>
        <v>36.388888888888886</v>
      </c>
      <c r="M23" s="57"/>
      <c r="N23" s="305"/>
      <c r="O23" s="306"/>
      <c r="P23" s="307"/>
    </row>
    <row r="24" spans="2:16" ht="18" customHeight="1">
      <c r="B24" s="298">
        <v>22</v>
      </c>
      <c r="C24" s="293" t="str">
        <f>Point!B24</f>
        <v>Hans MV</v>
      </c>
      <c r="D24" s="294">
        <f>Point!C24</f>
        <v>14</v>
      </c>
      <c r="E24" s="57"/>
      <c r="F24" s="299">
        <v>22</v>
      </c>
      <c r="G24" s="296" t="str">
        <f>Money!B24</f>
        <v>Hans MV</v>
      </c>
      <c r="H24" s="297">
        <f>Money!C24</f>
        <v>3430000</v>
      </c>
      <c r="I24" s="57"/>
      <c r="J24" s="299">
        <v>22</v>
      </c>
      <c r="K24" s="362" t="str">
        <f>Puts!B24</f>
        <v>Thorkild J</v>
      </c>
      <c r="L24" s="363">
        <f>Puts!C24</f>
        <v>37</v>
      </c>
      <c r="M24" s="57"/>
      <c r="N24" s="305"/>
      <c r="O24" s="306"/>
      <c r="P24" s="307"/>
    </row>
    <row r="25" spans="2:16" ht="18" customHeight="1">
      <c r="B25" s="298">
        <v>23</v>
      </c>
      <c r="C25" s="293" t="str">
        <f>Point!B25</f>
        <v>Finn EC</v>
      </c>
      <c r="D25" s="294">
        <f>Point!C25</f>
        <v>7</v>
      </c>
      <c r="E25" s="57"/>
      <c r="F25" s="299">
        <v>23</v>
      </c>
      <c r="G25" s="296" t="str">
        <f>Money!B25</f>
        <v>Finn EC</v>
      </c>
      <c r="H25" s="297">
        <f>Money!C25</f>
        <v>1490000</v>
      </c>
      <c r="I25" s="57"/>
      <c r="J25" s="299">
        <v>23</v>
      </c>
      <c r="K25" s="358" t="str">
        <f>Puts!B25</f>
        <v>Per N</v>
      </c>
      <c r="L25" s="364">
        <f>Puts!C25</f>
        <v>37.5</v>
      </c>
      <c r="M25" s="57"/>
      <c r="N25" s="305"/>
      <c r="O25" s="306"/>
      <c r="P25" s="307"/>
    </row>
    <row r="26" spans="2:17" s="9" customFormat="1" ht="18" customHeight="1">
      <c r="B26" s="298">
        <v>24</v>
      </c>
      <c r="C26" s="293" t="str">
        <f>Point!B26</f>
        <v>Thorkild J</v>
      </c>
      <c r="D26" s="294">
        <f>Point!C26</f>
        <v>1</v>
      </c>
      <c r="E26" s="57"/>
      <c r="F26" s="299">
        <v>24</v>
      </c>
      <c r="G26" s="296" t="str">
        <f>Money!B26</f>
        <v>Thorkild J</v>
      </c>
      <c r="H26" s="297">
        <f>Money!C26</f>
        <v>1090000</v>
      </c>
      <c r="I26" s="57"/>
      <c r="J26" s="299">
        <v>24</v>
      </c>
      <c r="K26" s="362" t="str">
        <f>Puts!B26</f>
        <v>Claus J</v>
      </c>
      <c r="L26" s="363">
        <f>Puts!C26</f>
        <v>39.333333333333336</v>
      </c>
      <c r="M26" s="57"/>
      <c r="N26" s="305"/>
      <c r="O26" s="306"/>
      <c r="P26" s="307"/>
      <c r="Q26" s="1"/>
    </row>
    <row r="27" ht="18" customHeight="1">
      <c r="C27" s="1"/>
    </row>
    <row r="28" spans="2:16" ht="13.5">
      <c r="B28" s="432" t="s">
        <v>5</v>
      </c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4"/>
    </row>
    <row r="29" spans="2:16" ht="13.5">
      <c r="B29" s="435" t="s">
        <v>170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7"/>
    </row>
    <row r="30" spans="2:16" ht="13.5">
      <c r="B30" s="438" t="s">
        <v>229</v>
      </c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40"/>
    </row>
  </sheetData>
  <sheetProtection selectLockedCells="1" selectUnlockedCells="1"/>
  <mergeCells count="9">
    <mergeCell ref="B28:P28"/>
    <mergeCell ref="B29:P29"/>
    <mergeCell ref="B30:P30"/>
    <mergeCell ref="B1:P1"/>
    <mergeCell ref="B2:D2"/>
    <mergeCell ref="F2:H2"/>
    <mergeCell ref="J2:L2"/>
    <mergeCell ref="N2:P2"/>
    <mergeCell ref="N14:P14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8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8" customWidth="1"/>
    <col min="17" max="17" width="10.421875" style="8" customWidth="1"/>
    <col min="18" max="16384" width="9.140625" style="8" customWidth="1"/>
  </cols>
  <sheetData>
    <row r="1" spans="2:14" s="57" customFormat="1" ht="43.5" customHeight="1">
      <c r="B1" s="441" t="s">
        <v>308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7" s="57" customFormat="1" ht="29.25" customHeight="1">
      <c r="B2" s="450" t="s">
        <v>309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P2" s="111" t="s">
        <v>97</v>
      </c>
      <c r="Q2" s="111" t="s">
        <v>98</v>
      </c>
    </row>
    <row r="3" spans="1:17" s="71" customFormat="1" ht="27" customHeight="1">
      <c r="A3" s="418" t="s">
        <v>77</v>
      </c>
      <c r="B3" s="323" t="s">
        <v>78</v>
      </c>
      <c r="C3" s="323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  <c r="P3" s="112">
        <v>13</v>
      </c>
      <c r="Q3" s="59" t="s">
        <v>76</v>
      </c>
    </row>
    <row r="4" spans="1:17" s="82" customFormat="1" ht="18" customHeight="1">
      <c r="A4" s="154" t="s">
        <v>36</v>
      </c>
      <c r="B4" s="251">
        <v>18.9</v>
      </c>
      <c r="C4" s="421">
        <v>29</v>
      </c>
      <c r="D4" s="321">
        <v>33</v>
      </c>
      <c r="E4" s="75"/>
      <c r="F4" s="73">
        <v>1</v>
      </c>
      <c r="G4" s="73">
        <v>10</v>
      </c>
      <c r="H4" s="76">
        <f aca="true" t="shared" si="0" ref="H4:H11">N4+I4</f>
        <v>1800000</v>
      </c>
      <c r="I4" s="77">
        <f aca="true" t="shared" si="1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1750000</v>
      </c>
      <c r="P4" s="72">
        <v>10</v>
      </c>
      <c r="Q4" s="59">
        <f>ROUND(P4*18/P3,0)</f>
        <v>14</v>
      </c>
    </row>
    <row r="5" spans="1:17" s="82" customFormat="1" ht="18" customHeight="1">
      <c r="A5" s="154" t="s">
        <v>10</v>
      </c>
      <c r="B5" s="251">
        <v>12.9</v>
      </c>
      <c r="C5" s="421">
        <v>26</v>
      </c>
      <c r="D5" s="321">
        <v>32</v>
      </c>
      <c r="E5" s="75"/>
      <c r="F5" s="73">
        <v>2</v>
      </c>
      <c r="G5" s="73">
        <v>8</v>
      </c>
      <c r="H5" s="76">
        <f t="shared" si="0"/>
        <v>1450000</v>
      </c>
      <c r="I5" s="77">
        <f>IF(E5&gt;0,$N$13,0)+IF(C5&gt;0,50000,0)+IF(C13&lt;0,50000,0)</f>
        <v>50000</v>
      </c>
      <c r="J5" s="83" t="s">
        <v>87</v>
      </c>
      <c r="K5" s="84"/>
      <c r="L5" s="85"/>
      <c r="M5" s="86">
        <v>8</v>
      </c>
      <c r="N5" s="76">
        <f>N12*20%</f>
        <v>1400000</v>
      </c>
      <c r="P5" s="72">
        <v>11</v>
      </c>
      <c r="Q5" s="59">
        <f>ROUND(P5*18/P3,0)</f>
        <v>15</v>
      </c>
    </row>
    <row r="6" spans="1:17" s="82" customFormat="1" ht="18" customHeight="1">
      <c r="A6" s="154" t="s">
        <v>12</v>
      </c>
      <c r="B6" s="251">
        <v>17.8</v>
      </c>
      <c r="C6" s="421">
        <v>26</v>
      </c>
      <c r="D6" s="322">
        <v>32</v>
      </c>
      <c r="E6" s="89"/>
      <c r="F6" s="12">
        <v>3</v>
      </c>
      <c r="G6" s="12">
        <v>6</v>
      </c>
      <c r="H6" s="76">
        <f t="shared" si="0"/>
        <v>1100000</v>
      </c>
      <c r="I6" s="77">
        <f>IF(E6&gt;0,$N$13,0)+IF(C6&gt;0,50000,0)+IF(C14&lt;0,50000,0)</f>
        <v>50000</v>
      </c>
      <c r="J6" s="83" t="s">
        <v>88</v>
      </c>
      <c r="K6" s="84"/>
      <c r="L6" s="85"/>
      <c r="M6" s="86">
        <v>6</v>
      </c>
      <c r="N6" s="76">
        <f>N12*15%</f>
        <v>1050000</v>
      </c>
      <c r="P6" s="72">
        <v>12</v>
      </c>
      <c r="Q6" s="59">
        <f>ROUND(P6*18/P3,0)</f>
        <v>17</v>
      </c>
    </row>
    <row r="7" spans="1:17" s="82" customFormat="1" ht="18" customHeight="1">
      <c r="A7" s="154" t="s">
        <v>42</v>
      </c>
      <c r="B7" s="251">
        <v>18.7</v>
      </c>
      <c r="C7" s="421">
        <v>26</v>
      </c>
      <c r="D7" s="321">
        <v>35</v>
      </c>
      <c r="E7" s="89"/>
      <c r="F7" s="73">
        <v>4</v>
      </c>
      <c r="G7" s="73">
        <v>5</v>
      </c>
      <c r="H7" s="76">
        <f t="shared" si="0"/>
        <v>890000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840000</v>
      </c>
      <c r="O7" s="87"/>
      <c r="P7" s="72">
        <v>13</v>
      </c>
      <c r="Q7" s="59">
        <f>ROUND(P7*18/P3,0)</f>
        <v>18</v>
      </c>
    </row>
    <row r="8" spans="1:17" s="82" customFormat="1" ht="18" customHeight="1">
      <c r="A8" s="154" t="s">
        <v>32</v>
      </c>
      <c r="B8" s="251">
        <v>14.2</v>
      </c>
      <c r="C8" s="421">
        <v>25</v>
      </c>
      <c r="D8" s="321">
        <v>36</v>
      </c>
      <c r="E8" s="75"/>
      <c r="F8" s="73">
        <v>5</v>
      </c>
      <c r="G8" s="73">
        <v>4</v>
      </c>
      <c r="H8" s="76">
        <f t="shared" si="0"/>
        <v>750000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700000</v>
      </c>
      <c r="P8" s="72">
        <v>14</v>
      </c>
      <c r="Q8" s="59">
        <f>ROUND(P8*18/P3,0)</f>
        <v>19</v>
      </c>
    </row>
    <row r="9" spans="1:17" s="82" customFormat="1" ht="18" customHeight="1">
      <c r="A9" s="154" t="s">
        <v>171</v>
      </c>
      <c r="B9" s="251">
        <v>11</v>
      </c>
      <c r="C9" s="421">
        <v>24</v>
      </c>
      <c r="D9" s="321">
        <v>33</v>
      </c>
      <c r="E9" s="89"/>
      <c r="F9" s="90">
        <v>6</v>
      </c>
      <c r="G9" s="90">
        <v>3</v>
      </c>
      <c r="H9" s="76">
        <f t="shared" si="0"/>
        <v>610000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560000</v>
      </c>
      <c r="P9" s="72">
        <v>15</v>
      </c>
      <c r="Q9" s="59">
        <f>ROUND(P9*18/P3,0)</f>
        <v>21</v>
      </c>
    </row>
    <row r="10" spans="1:17" s="82" customFormat="1" ht="18" customHeight="1">
      <c r="A10" s="154" t="s">
        <v>26</v>
      </c>
      <c r="B10" s="251">
        <v>22.7</v>
      </c>
      <c r="C10" s="421">
        <v>24</v>
      </c>
      <c r="D10" s="321">
        <v>33</v>
      </c>
      <c r="E10" s="75"/>
      <c r="F10" s="73">
        <v>7</v>
      </c>
      <c r="G10" s="73">
        <v>2</v>
      </c>
      <c r="H10" s="76">
        <f t="shared" si="0"/>
        <v>470000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420000</v>
      </c>
      <c r="P10" s="72">
        <v>16</v>
      </c>
      <c r="Q10" s="59">
        <f>ROUND(P10*18/P3,0)</f>
        <v>22</v>
      </c>
    </row>
    <row r="11" spans="1:17" s="82" customFormat="1" ht="18" customHeight="1">
      <c r="A11" s="154" t="s">
        <v>48</v>
      </c>
      <c r="B11" s="251">
        <v>7.3</v>
      </c>
      <c r="C11" s="421">
        <v>22</v>
      </c>
      <c r="D11" s="321">
        <v>30</v>
      </c>
      <c r="E11" s="89"/>
      <c r="F11" s="73">
        <v>8</v>
      </c>
      <c r="G11" s="73">
        <v>1</v>
      </c>
      <c r="H11" s="76">
        <f t="shared" si="0"/>
        <v>330000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280000</v>
      </c>
      <c r="P11" s="72">
        <v>17</v>
      </c>
      <c r="Q11" s="59">
        <f>ROUND(P11*18/P3,0)</f>
        <v>24</v>
      </c>
    </row>
    <row r="12" spans="1:17" s="82" customFormat="1" ht="18" customHeight="1">
      <c r="A12" s="154" t="s">
        <v>28</v>
      </c>
      <c r="B12" s="251">
        <v>11.1</v>
      </c>
      <c r="C12" s="421">
        <v>22</v>
      </c>
      <c r="D12" s="321">
        <v>33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7000000</v>
      </c>
      <c r="P12" s="72">
        <v>18</v>
      </c>
      <c r="Q12" s="59">
        <f>ROUND(P12*18/P3,0)</f>
        <v>25</v>
      </c>
    </row>
    <row r="13" spans="1:17" s="82" customFormat="1" ht="18" customHeight="1">
      <c r="A13" s="154" t="s">
        <v>22</v>
      </c>
      <c r="B13" s="251">
        <v>12.1</v>
      </c>
      <c r="C13" s="421">
        <v>22</v>
      </c>
      <c r="D13" s="321">
        <v>39</v>
      </c>
      <c r="E13" s="75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420000</v>
      </c>
      <c r="P13" s="72">
        <v>19</v>
      </c>
      <c r="Q13" s="59">
        <f>ROUND(P13*18/P3,0)</f>
        <v>26</v>
      </c>
    </row>
    <row r="14" spans="1:17" s="82" customFormat="1" ht="18" customHeight="1">
      <c r="A14" s="154" t="s">
        <v>46</v>
      </c>
      <c r="B14" s="251">
        <v>21</v>
      </c>
      <c r="C14" s="421">
        <v>22</v>
      </c>
      <c r="D14" s="321">
        <v>33</v>
      </c>
      <c r="E14" s="75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  <c r="P14" s="72">
        <v>20</v>
      </c>
      <c r="Q14" s="59">
        <f>ROUND(P14*18/P3,0)</f>
        <v>28</v>
      </c>
    </row>
    <row r="15" spans="1:17" s="82" customFormat="1" ht="18" customHeight="1">
      <c r="A15" s="154" t="s">
        <v>40</v>
      </c>
      <c r="B15" s="251">
        <v>21.1</v>
      </c>
      <c r="C15" s="421">
        <v>22</v>
      </c>
      <c r="D15" s="321">
        <v>36</v>
      </c>
      <c r="E15" s="75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  <c r="P15" s="72">
        <v>21</v>
      </c>
      <c r="Q15" s="59">
        <f>ROUND(P15*18/P3,0)</f>
        <v>29</v>
      </c>
    </row>
    <row r="16" spans="1:17" s="82" customFormat="1" ht="18" customHeight="1">
      <c r="A16" s="154" t="s">
        <v>8</v>
      </c>
      <c r="B16" s="251">
        <v>19.9</v>
      </c>
      <c r="C16" s="421">
        <v>21</v>
      </c>
      <c r="D16" s="321">
        <v>35</v>
      </c>
      <c r="E16" s="75"/>
      <c r="F16" s="12"/>
      <c r="G16" s="12"/>
      <c r="H16" s="76">
        <f t="shared" si="2"/>
        <v>50000</v>
      </c>
      <c r="I16" s="77">
        <f t="shared" si="3"/>
        <v>50000</v>
      </c>
      <c r="P16" s="72">
        <v>22</v>
      </c>
      <c r="Q16" s="59">
        <f>ROUND(P16*18/P3,0)</f>
        <v>30</v>
      </c>
    </row>
    <row r="17" spans="1:17" s="82" customFormat="1" ht="18" customHeight="1">
      <c r="A17" s="154" t="s">
        <v>14</v>
      </c>
      <c r="B17" s="251">
        <v>12</v>
      </c>
      <c r="C17" s="421">
        <v>20</v>
      </c>
      <c r="D17" s="321">
        <v>30</v>
      </c>
      <c r="E17" s="75"/>
      <c r="F17" s="12"/>
      <c r="G17" s="12"/>
      <c r="H17" s="76">
        <f t="shared" si="2"/>
        <v>50000</v>
      </c>
      <c r="I17" s="77">
        <f t="shared" si="3"/>
        <v>50000</v>
      </c>
      <c r="O17" s="87"/>
      <c r="P17" s="72">
        <v>23</v>
      </c>
      <c r="Q17" s="59">
        <f>ROUND(P17*18/P3,0)</f>
        <v>32</v>
      </c>
    </row>
    <row r="18" spans="1:17" s="82" customFormat="1" ht="18" customHeight="1">
      <c r="A18" s="154" t="s">
        <v>30</v>
      </c>
      <c r="B18" s="251">
        <v>9.6</v>
      </c>
      <c r="C18" s="421">
        <v>18</v>
      </c>
      <c r="D18" s="321">
        <v>36</v>
      </c>
      <c r="E18" s="75"/>
      <c r="F18" s="73"/>
      <c r="G18" s="73"/>
      <c r="H18" s="76">
        <f t="shared" si="2"/>
        <v>50000</v>
      </c>
      <c r="I18" s="77">
        <f t="shared" si="3"/>
        <v>50000</v>
      </c>
      <c r="J18" s="8"/>
      <c r="K18" s="8"/>
      <c r="L18" s="8"/>
      <c r="M18" s="8"/>
      <c r="N18" s="8"/>
      <c r="O18" s="88"/>
      <c r="P18" s="72">
        <v>24</v>
      </c>
      <c r="Q18" s="59">
        <f>ROUND(P18*18/P3,0)</f>
        <v>33</v>
      </c>
    </row>
    <row r="19" spans="1:17" s="82" customFormat="1" ht="18" customHeight="1">
      <c r="A19" s="154" t="s">
        <v>16</v>
      </c>
      <c r="B19" s="251">
        <v>20.1</v>
      </c>
      <c r="C19" s="421">
        <v>18</v>
      </c>
      <c r="D19" s="321">
        <v>44</v>
      </c>
      <c r="E19" s="75"/>
      <c r="F19" s="73"/>
      <c r="G19" s="73"/>
      <c r="H19" s="76">
        <f t="shared" si="2"/>
        <v>50000</v>
      </c>
      <c r="I19" s="77">
        <f t="shared" si="3"/>
        <v>50000</v>
      </c>
      <c r="J19" s="8"/>
      <c r="K19" s="8"/>
      <c r="L19" s="8"/>
      <c r="M19" s="8"/>
      <c r="N19" s="8"/>
      <c r="O19" s="88"/>
      <c r="P19" s="72">
        <v>25</v>
      </c>
      <c r="Q19" s="59">
        <f>ROUND(P19*18/P3,0)</f>
        <v>35</v>
      </c>
    </row>
    <row r="20" spans="1:17" s="57" customFormat="1" ht="18" customHeight="1">
      <c r="A20" s="154" t="s">
        <v>34</v>
      </c>
      <c r="B20" s="251">
        <v>15.4</v>
      </c>
      <c r="C20" s="421">
        <v>15</v>
      </c>
      <c r="D20" s="321">
        <v>43</v>
      </c>
      <c r="E20" s="75"/>
      <c r="F20" s="12"/>
      <c r="G20" s="12"/>
      <c r="H20" s="76">
        <f t="shared" si="2"/>
        <v>50000</v>
      </c>
      <c r="I20" s="77">
        <f t="shared" si="3"/>
        <v>50000</v>
      </c>
      <c r="J20" s="8"/>
      <c r="K20" s="8"/>
      <c r="L20" s="8"/>
      <c r="M20" s="8"/>
      <c r="N20" s="8"/>
      <c r="P20" s="72">
        <v>26</v>
      </c>
      <c r="Q20" s="59">
        <f>ROUND(P20*18/P3,0)</f>
        <v>36</v>
      </c>
    </row>
    <row r="21" spans="1:17" s="57" customFormat="1" ht="18" customHeight="1">
      <c r="A21" s="311"/>
      <c r="B21" s="419"/>
      <c r="C21" s="272"/>
      <c r="D21" s="74"/>
      <c r="E21" s="75"/>
      <c r="F21" s="12"/>
      <c r="G21" s="12"/>
      <c r="H21" s="76">
        <f t="shared" si="2"/>
        <v>0</v>
      </c>
      <c r="I21" s="77">
        <f t="shared" si="3"/>
        <v>0</v>
      </c>
      <c r="J21" s="8"/>
      <c r="K21" s="8"/>
      <c r="L21" s="8"/>
      <c r="M21" s="8"/>
      <c r="N21" s="8"/>
      <c r="P21" s="72">
        <v>27</v>
      </c>
      <c r="Q21" s="59">
        <f>ROUND(P21*18/P3,0)</f>
        <v>37</v>
      </c>
    </row>
    <row r="22" spans="1:17" s="57" customFormat="1" ht="18" customHeight="1">
      <c r="A22" s="154"/>
      <c r="B22" s="251"/>
      <c r="C22" s="73"/>
      <c r="D22" s="74"/>
      <c r="E22" s="89"/>
      <c r="F22" s="12"/>
      <c r="G22" s="12"/>
      <c r="H22" s="76">
        <f t="shared" si="2"/>
        <v>0</v>
      </c>
      <c r="I22" s="77">
        <f t="shared" si="3"/>
        <v>0</v>
      </c>
      <c r="J22" s="8"/>
      <c r="K22" s="8"/>
      <c r="L22" s="8"/>
      <c r="M22" s="8"/>
      <c r="N22" s="8"/>
      <c r="P22" s="72">
        <v>28</v>
      </c>
      <c r="Q22" s="59">
        <f>ROUND(P22*18/P3,0)</f>
        <v>39</v>
      </c>
    </row>
    <row r="23" spans="1:17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  <c r="J23" s="8"/>
      <c r="K23" s="8"/>
      <c r="L23" s="8"/>
      <c r="M23" s="8"/>
      <c r="N23" s="8"/>
      <c r="P23" s="72">
        <v>29</v>
      </c>
      <c r="Q23" s="59">
        <f>ROUND(P23*18/P3,0)</f>
        <v>40</v>
      </c>
    </row>
    <row r="24" spans="1:17" s="57" customFormat="1" ht="18" customHeight="1">
      <c r="A24" s="154"/>
      <c r="B24" s="190"/>
      <c r="C24" s="73"/>
      <c r="D24" s="106" t="s">
        <v>96</v>
      </c>
      <c r="E24" s="89"/>
      <c r="F24" s="12"/>
      <c r="G24" s="12"/>
      <c r="H24" s="76">
        <f t="shared" si="2"/>
        <v>0</v>
      </c>
      <c r="I24" s="77">
        <f>IF(E24&gt;0,$N$13,0)+IF(C24&gt;0,50000,0)+IF(C24&lt;0,50000,0)</f>
        <v>0</v>
      </c>
      <c r="J24" s="8"/>
      <c r="K24" s="8"/>
      <c r="L24" s="8"/>
      <c r="M24" s="8"/>
      <c r="N24" s="8"/>
      <c r="P24" s="72">
        <v>30</v>
      </c>
      <c r="Q24" s="59">
        <f>ROUND(P24*18/P3,0)</f>
        <v>42</v>
      </c>
    </row>
    <row r="25" spans="1:17" s="57" customFormat="1" ht="18" customHeight="1">
      <c r="A25" s="154"/>
      <c r="B25" s="190"/>
      <c r="C25" s="74"/>
      <c r="D25" s="74"/>
      <c r="E25" s="89"/>
      <c r="F25" s="12"/>
      <c r="G25" s="12"/>
      <c r="H25" s="76">
        <f t="shared" si="2"/>
        <v>0</v>
      </c>
      <c r="I25" s="77">
        <f t="shared" si="3"/>
        <v>0</v>
      </c>
      <c r="J25" s="8"/>
      <c r="K25" s="8"/>
      <c r="L25" s="8"/>
      <c r="M25" s="8"/>
      <c r="N25" s="8"/>
      <c r="P25" s="72">
        <v>31</v>
      </c>
      <c r="Q25" s="59">
        <f>ROUND(P25*18/P3,0)</f>
        <v>43</v>
      </c>
    </row>
    <row r="26" spans="1:17" s="57" customFormat="1" ht="18" customHeight="1">
      <c r="A26" s="154"/>
      <c r="B26" s="190"/>
      <c r="C26" s="73"/>
      <c r="D26" s="74"/>
      <c r="E26" s="75"/>
      <c r="F26" s="73"/>
      <c r="G26" s="73"/>
      <c r="H26" s="76">
        <f t="shared" si="2"/>
        <v>0</v>
      </c>
      <c r="I26" s="77">
        <f t="shared" si="3"/>
        <v>0</v>
      </c>
      <c r="J26" s="8"/>
      <c r="K26" s="8"/>
      <c r="L26" s="8"/>
      <c r="M26" s="8"/>
      <c r="N26" s="8"/>
      <c r="P26" s="72">
        <v>32</v>
      </c>
      <c r="Q26" s="59">
        <f>ROUND(P26*18/P3,0)</f>
        <v>44</v>
      </c>
    </row>
    <row r="27" spans="1:17" s="57" customFormat="1" ht="18" customHeight="1">
      <c r="A27" s="154"/>
      <c r="B27" s="190"/>
      <c r="C27" s="73"/>
      <c r="D27" s="74"/>
      <c r="E27" s="89"/>
      <c r="F27" s="73"/>
      <c r="G27" s="73"/>
      <c r="H27" s="76">
        <f t="shared" si="2"/>
        <v>0</v>
      </c>
      <c r="I27" s="77">
        <f t="shared" si="3"/>
        <v>0</v>
      </c>
      <c r="J27" s="8"/>
      <c r="K27" s="8"/>
      <c r="L27" s="8"/>
      <c r="M27" s="8"/>
      <c r="N27" s="8"/>
      <c r="P27" s="72">
        <v>33</v>
      </c>
      <c r="Q27" s="59">
        <f>ROUND(P27*18/P7,0)</f>
        <v>46</v>
      </c>
    </row>
    <row r="28" spans="1:17" ht="24" customHeight="1">
      <c r="A28" s="1"/>
      <c r="B28" s="3"/>
      <c r="C28" s="107"/>
      <c r="D28" s="108">
        <f>SUM(D4:D27)</f>
        <v>593</v>
      </c>
      <c r="E28" s="107"/>
      <c r="F28" s="3"/>
      <c r="G28" s="109">
        <f>SUM(G4:G27)</f>
        <v>39</v>
      </c>
      <c r="H28" s="109">
        <f>SUM(H4:H27)</f>
        <v>7850000</v>
      </c>
      <c r="I28" s="110"/>
      <c r="P28" s="72">
        <v>34</v>
      </c>
      <c r="Q28" s="59">
        <f>ROUND(P28*18/P7,0)</f>
        <v>47</v>
      </c>
    </row>
    <row r="29" spans="16:17" ht="18">
      <c r="P29" s="72">
        <v>35</v>
      </c>
      <c r="Q29" s="59">
        <f>ROUND(P29*18/P9,0)</f>
        <v>42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14.28125" style="8" customWidth="1"/>
    <col min="17" max="17" width="10.7109375" style="8" customWidth="1"/>
    <col min="18" max="16384" width="9.140625" style="8" customWidth="1"/>
  </cols>
  <sheetData>
    <row r="1" spans="2:14" s="57" customFormat="1" ht="43.5" customHeight="1">
      <c r="B1" s="441" t="s">
        <v>152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7" s="57" customFormat="1" ht="29.25" customHeight="1">
      <c r="B2" s="450" t="s">
        <v>306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P2" s="111" t="s">
        <v>97</v>
      </c>
      <c r="Q2" s="111" t="s">
        <v>98</v>
      </c>
    </row>
    <row r="3" spans="1:17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  <c r="P3" s="112">
        <v>16</v>
      </c>
      <c r="Q3" s="59" t="s">
        <v>76</v>
      </c>
    </row>
    <row r="4" spans="1:17" s="82" customFormat="1" ht="18" customHeight="1">
      <c r="A4" s="154" t="s">
        <v>18</v>
      </c>
      <c r="B4" s="251">
        <v>14.2</v>
      </c>
      <c r="C4" s="73">
        <v>36</v>
      </c>
      <c r="D4" s="74">
        <v>28</v>
      </c>
      <c r="E4" s="89"/>
      <c r="F4" s="73">
        <v>1</v>
      </c>
      <c r="G4" s="73">
        <v>10</v>
      </c>
      <c r="H4" s="76">
        <f aca="true" t="shared" si="0" ref="H4:H11">N4+I4</f>
        <v>1550000</v>
      </c>
      <c r="I4" s="77">
        <f aca="true" t="shared" si="1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  <c r="P4" s="72">
        <v>21</v>
      </c>
      <c r="Q4" s="59">
        <f>ROUND(P4*18/P3,0)</f>
        <v>24</v>
      </c>
    </row>
    <row r="5" spans="1:17" s="82" customFormat="1" ht="18" customHeight="1">
      <c r="A5" s="154" t="s">
        <v>26</v>
      </c>
      <c r="B5" s="251">
        <v>23.9</v>
      </c>
      <c r="C5" s="12">
        <v>35</v>
      </c>
      <c r="D5" s="74">
        <v>32</v>
      </c>
      <c r="E5" s="75"/>
      <c r="F5" s="73">
        <v>2</v>
      </c>
      <c r="G5" s="73">
        <v>8</v>
      </c>
      <c r="H5" s="76">
        <f t="shared" si="0"/>
        <v>1250000</v>
      </c>
      <c r="I5" s="77">
        <f>IF(E5&gt;0,$N$13,0)+IF(C5&gt;0,50000,0)+IF(C13&lt;0,50000,0)</f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  <c r="P5" s="72">
        <v>22</v>
      </c>
      <c r="Q5" s="59">
        <f>ROUND(P5*18/P3,0)</f>
        <v>25</v>
      </c>
    </row>
    <row r="6" spans="1:17" s="82" customFormat="1" ht="18" customHeight="1">
      <c r="A6" s="154" t="s">
        <v>28</v>
      </c>
      <c r="B6" s="251">
        <v>11.6</v>
      </c>
      <c r="C6" s="73">
        <v>34</v>
      </c>
      <c r="D6" s="74">
        <v>32</v>
      </c>
      <c r="E6" s="75"/>
      <c r="F6" s="12">
        <v>3</v>
      </c>
      <c r="G6" s="12">
        <v>6</v>
      </c>
      <c r="H6" s="76">
        <f t="shared" si="0"/>
        <v>950000</v>
      </c>
      <c r="I6" s="77">
        <f>IF(E6&gt;0,$N$13,0)+IF(C6&gt;0,50000,0)+IF(C14&lt;0,50000,0)</f>
        <v>50000</v>
      </c>
      <c r="J6" s="83" t="s">
        <v>88</v>
      </c>
      <c r="K6" s="84"/>
      <c r="L6" s="85"/>
      <c r="M6" s="86">
        <v>6</v>
      </c>
      <c r="N6" s="76">
        <f>N12*15%</f>
        <v>900000</v>
      </c>
      <c r="P6" s="72">
        <v>23</v>
      </c>
      <c r="Q6" s="59">
        <f>ROUND(P6*18/P3,0)</f>
        <v>26</v>
      </c>
    </row>
    <row r="7" spans="1:18" s="82" customFormat="1" ht="18" customHeight="1">
      <c r="A7" s="154" t="s">
        <v>171</v>
      </c>
      <c r="B7" s="251">
        <v>12</v>
      </c>
      <c r="C7" s="73">
        <v>34</v>
      </c>
      <c r="D7" s="74">
        <v>34</v>
      </c>
      <c r="E7" s="89"/>
      <c r="F7" s="73">
        <v>4</v>
      </c>
      <c r="G7" s="73">
        <v>5</v>
      </c>
      <c r="H7" s="76">
        <f t="shared" si="0"/>
        <v>770000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72">
        <v>24</v>
      </c>
      <c r="Q7" s="59">
        <f>ROUND(P7*18/P3,0)</f>
        <v>27</v>
      </c>
      <c r="R7" s="88"/>
    </row>
    <row r="8" spans="1:17" s="82" customFormat="1" ht="18" customHeight="1">
      <c r="A8" s="154" t="s">
        <v>8</v>
      </c>
      <c r="B8" s="251">
        <v>20.7</v>
      </c>
      <c r="C8" s="74">
        <v>34</v>
      </c>
      <c r="D8" s="74">
        <v>34</v>
      </c>
      <c r="E8" s="89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  <c r="P8" s="72">
        <v>25</v>
      </c>
      <c r="Q8" s="59">
        <f>ROUND(P8*18/P3,0)</f>
        <v>28</v>
      </c>
    </row>
    <row r="9" spans="1:17" s="82" customFormat="1" ht="18" customHeight="1">
      <c r="A9" s="154" t="s">
        <v>40</v>
      </c>
      <c r="B9" s="251">
        <v>21.9</v>
      </c>
      <c r="C9" s="73">
        <v>34</v>
      </c>
      <c r="D9" s="74">
        <v>35</v>
      </c>
      <c r="E9" s="75"/>
      <c r="F9" s="90">
        <v>6</v>
      </c>
      <c r="G9" s="90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  <c r="P9" s="72">
        <v>26</v>
      </c>
      <c r="Q9" s="59">
        <f>ROUND(P9*18/P3,0)</f>
        <v>29</v>
      </c>
    </row>
    <row r="10" spans="1:17" s="82" customFormat="1" ht="18" customHeight="1">
      <c r="A10" s="154" t="s">
        <v>32</v>
      </c>
      <c r="B10" s="251">
        <v>14.5</v>
      </c>
      <c r="C10" s="73">
        <v>33</v>
      </c>
      <c r="D10" s="74">
        <v>28</v>
      </c>
      <c r="E10" s="75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  <c r="P10" s="72">
        <v>27</v>
      </c>
      <c r="Q10" s="59">
        <f>ROUND(P10*18/P3,0)</f>
        <v>30</v>
      </c>
    </row>
    <row r="11" spans="1:17" s="82" customFormat="1" ht="18" customHeight="1">
      <c r="A11" s="154" t="s">
        <v>48</v>
      </c>
      <c r="B11" s="251">
        <v>7.2</v>
      </c>
      <c r="C11" s="73">
        <v>32</v>
      </c>
      <c r="D11" s="74">
        <v>32</v>
      </c>
      <c r="E11" s="75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  <c r="P11" s="72">
        <v>28</v>
      </c>
      <c r="Q11" s="59">
        <f>ROUND(P11*18/P3,0)</f>
        <v>32</v>
      </c>
    </row>
    <row r="12" spans="1:17" s="82" customFormat="1" ht="18" customHeight="1">
      <c r="A12" s="154" t="s">
        <v>14</v>
      </c>
      <c r="B12" s="251">
        <v>12</v>
      </c>
      <c r="C12" s="74">
        <v>31</v>
      </c>
      <c r="D12" s="74">
        <v>28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  <c r="P12" s="72">
        <v>29</v>
      </c>
      <c r="Q12" s="59">
        <f>ROUND(P12*18/P3,0)</f>
        <v>33</v>
      </c>
    </row>
    <row r="13" spans="1:17" s="82" customFormat="1" ht="18" customHeight="1">
      <c r="A13" s="154" t="s">
        <v>10</v>
      </c>
      <c r="B13" s="251">
        <v>13.2</v>
      </c>
      <c r="C13" s="73">
        <v>31</v>
      </c>
      <c r="D13" s="74">
        <v>32</v>
      </c>
      <c r="E13" s="89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  <c r="P13" s="72">
        <v>30</v>
      </c>
      <c r="Q13" s="59">
        <f>ROUND(P13*18/P3,0)</f>
        <v>34</v>
      </c>
    </row>
    <row r="14" spans="1:17" s="82" customFormat="1" ht="18" customHeight="1">
      <c r="A14" s="154" t="s">
        <v>22</v>
      </c>
      <c r="B14" s="251">
        <v>14.2</v>
      </c>
      <c r="C14" s="74">
        <v>30</v>
      </c>
      <c r="D14" s="74">
        <v>34</v>
      </c>
      <c r="E14" s="89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  <c r="P14" s="72">
        <v>31</v>
      </c>
      <c r="Q14" s="59">
        <f>ROUND(P14*18/P3,0)</f>
        <v>35</v>
      </c>
    </row>
    <row r="15" spans="1:17" s="82" customFormat="1" ht="18" customHeight="1">
      <c r="A15" s="154" t="s">
        <v>30</v>
      </c>
      <c r="B15" s="251">
        <v>9.5</v>
      </c>
      <c r="C15" s="73">
        <v>29</v>
      </c>
      <c r="D15" s="74">
        <v>32</v>
      </c>
      <c r="E15" s="75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  <c r="P15" s="72">
        <v>32</v>
      </c>
      <c r="Q15" s="59">
        <f>ROUND(P15*18/P3,0)</f>
        <v>36</v>
      </c>
    </row>
    <row r="16" spans="1:17" s="82" customFormat="1" ht="18" customHeight="1">
      <c r="A16" s="154" t="s">
        <v>38</v>
      </c>
      <c r="B16" s="251">
        <v>13</v>
      </c>
      <c r="C16" s="93">
        <v>29</v>
      </c>
      <c r="D16" s="74">
        <v>33</v>
      </c>
      <c r="E16" s="75"/>
      <c r="F16" s="12"/>
      <c r="G16" s="12"/>
      <c r="H16" s="76">
        <f t="shared" si="2"/>
        <v>50000</v>
      </c>
      <c r="I16" s="77">
        <f t="shared" si="3"/>
        <v>50000</v>
      </c>
      <c r="P16" s="72">
        <v>33</v>
      </c>
      <c r="Q16" s="59">
        <f>ROUND(P16*18/P3,0)</f>
        <v>37</v>
      </c>
    </row>
    <row r="17" spans="1:18" s="82" customFormat="1" ht="18" customHeight="1">
      <c r="A17" s="154" t="s">
        <v>12</v>
      </c>
      <c r="B17" s="251">
        <v>17.7</v>
      </c>
      <c r="C17" s="73">
        <v>28</v>
      </c>
      <c r="D17" s="74">
        <v>35</v>
      </c>
      <c r="E17" s="75">
        <v>7.51</v>
      </c>
      <c r="F17" s="12"/>
      <c r="G17" s="12"/>
      <c r="H17" s="76">
        <f t="shared" si="2"/>
        <v>410000</v>
      </c>
      <c r="I17" s="77">
        <f t="shared" si="3"/>
        <v>410000</v>
      </c>
      <c r="O17" s="87"/>
      <c r="P17" s="72">
        <v>34</v>
      </c>
      <c r="Q17" s="59">
        <f>ROUND(P17*18/P3,0)</f>
        <v>38</v>
      </c>
      <c r="R17" s="88"/>
    </row>
    <row r="18" spans="1:18" s="82" customFormat="1" ht="18" customHeight="1">
      <c r="A18" s="154" t="s">
        <v>42</v>
      </c>
      <c r="B18" s="251">
        <v>18.7</v>
      </c>
      <c r="C18" s="73">
        <v>28</v>
      </c>
      <c r="D18" s="74">
        <v>36</v>
      </c>
      <c r="E18" s="75"/>
      <c r="F18" s="73"/>
      <c r="G18" s="73"/>
      <c r="H18" s="76">
        <f t="shared" si="2"/>
        <v>50000</v>
      </c>
      <c r="I18" s="77">
        <f t="shared" si="3"/>
        <v>50000</v>
      </c>
      <c r="J18" s="8"/>
      <c r="K18" s="8"/>
      <c r="L18" s="8"/>
      <c r="M18" s="8"/>
      <c r="N18" s="8"/>
      <c r="O18" s="88"/>
      <c r="P18" s="72">
        <v>35</v>
      </c>
      <c r="Q18" s="59">
        <f>ROUND(P18*18/P3,0)</f>
        <v>39</v>
      </c>
      <c r="R18" s="88"/>
    </row>
    <row r="19" spans="1:18" s="82" customFormat="1" ht="18" customHeight="1">
      <c r="A19" s="154" t="s">
        <v>36</v>
      </c>
      <c r="B19" s="251">
        <v>18.8</v>
      </c>
      <c r="C19" s="73">
        <v>26</v>
      </c>
      <c r="D19" s="74">
        <v>38</v>
      </c>
      <c r="E19" s="75"/>
      <c r="F19" s="73"/>
      <c r="G19" s="73"/>
      <c r="H19" s="76">
        <f t="shared" si="2"/>
        <v>50000</v>
      </c>
      <c r="I19" s="77">
        <f t="shared" si="3"/>
        <v>50000</v>
      </c>
      <c r="J19" s="8"/>
      <c r="K19" s="8"/>
      <c r="L19" s="8"/>
      <c r="M19" s="8"/>
      <c r="N19" s="8"/>
      <c r="O19" s="88"/>
      <c r="P19" s="72">
        <v>36</v>
      </c>
      <c r="Q19" s="59">
        <f>ROUND(P19*18/P3,0)</f>
        <v>41</v>
      </c>
      <c r="R19" s="88"/>
    </row>
    <row r="20" spans="1:17" s="57" customFormat="1" ht="18" customHeight="1">
      <c r="A20" s="154" t="s">
        <v>50</v>
      </c>
      <c r="B20" s="251">
        <v>24.3</v>
      </c>
      <c r="C20" s="73">
        <v>25</v>
      </c>
      <c r="D20" s="74">
        <v>35</v>
      </c>
      <c r="E20" s="75"/>
      <c r="F20" s="12"/>
      <c r="G20" s="12"/>
      <c r="H20" s="76">
        <f t="shared" si="2"/>
        <v>50000</v>
      </c>
      <c r="I20" s="77">
        <f t="shared" si="3"/>
        <v>50000</v>
      </c>
      <c r="J20" s="8"/>
      <c r="K20" s="8"/>
      <c r="L20" s="8"/>
      <c r="M20" s="8"/>
      <c r="N20" s="8"/>
      <c r="P20" s="72">
        <v>37</v>
      </c>
      <c r="Q20" s="59">
        <f>ROUND(P20*18/P3,0)</f>
        <v>42</v>
      </c>
    </row>
    <row r="21" spans="1:17" s="57" customFormat="1" ht="18" customHeight="1">
      <c r="A21" s="154" t="s">
        <v>16</v>
      </c>
      <c r="B21" s="251">
        <v>20</v>
      </c>
      <c r="C21" s="74">
        <v>23</v>
      </c>
      <c r="D21" s="74">
        <v>38</v>
      </c>
      <c r="E21" s="75"/>
      <c r="F21" s="12"/>
      <c r="G21" s="12"/>
      <c r="H21" s="76">
        <f t="shared" si="2"/>
        <v>50000</v>
      </c>
      <c r="I21" s="77">
        <f t="shared" si="3"/>
        <v>50000</v>
      </c>
      <c r="J21" s="8"/>
      <c r="K21" s="8"/>
      <c r="L21" s="8"/>
      <c r="M21" s="8"/>
      <c r="N21" s="8"/>
      <c r="P21" s="72">
        <v>38</v>
      </c>
      <c r="Q21" s="59">
        <f>ROUND(P21*18/P3,0)</f>
        <v>43</v>
      </c>
    </row>
    <row r="22" spans="1:17" s="57" customFormat="1" ht="18" customHeight="1">
      <c r="A22" s="154" t="s">
        <v>46</v>
      </c>
      <c r="B22" s="251">
        <v>20.9</v>
      </c>
      <c r="C22" s="73">
        <v>19</v>
      </c>
      <c r="D22" s="74">
        <v>43</v>
      </c>
      <c r="E22" s="89"/>
      <c r="F22" s="12"/>
      <c r="G22" s="12"/>
      <c r="H22" s="76">
        <f t="shared" si="2"/>
        <v>50000</v>
      </c>
      <c r="I22" s="77">
        <f t="shared" si="3"/>
        <v>50000</v>
      </c>
      <c r="J22" s="8"/>
      <c r="K22" s="8"/>
      <c r="L22" s="8"/>
      <c r="M22" s="8"/>
      <c r="N22" s="8"/>
      <c r="P22" s="72">
        <v>39</v>
      </c>
      <c r="Q22" s="59">
        <f>ROUND(P22*18/P3,0)</f>
        <v>44</v>
      </c>
    </row>
    <row r="23" spans="1:17" s="57" customFormat="1" ht="18" customHeight="1">
      <c r="A23" s="154"/>
      <c r="B23" s="251"/>
      <c r="C23" s="74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  <c r="J23" s="8"/>
      <c r="K23" s="8"/>
      <c r="L23" s="8"/>
      <c r="M23" s="8"/>
      <c r="N23" s="8"/>
      <c r="P23" s="72">
        <v>40</v>
      </c>
      <c r="Q23" s="59">
        <f>ROUND(P23*18/P3,0)</f>
        <v>45</v>
      </c>
    </row>
    <row r="24" spans="1:17" s="57" customFormat="1" ht="18" customHeight="1">
      <c r="A24" s="154"/>
      <c r="B24" s="251"/>
      <c r="C24" s="73"/>
      <c r="D24" s="74"/>
      <c r="E24" s="75"/>
      <c r="F24" s="12"/>
      <c r="G24" s="12"/>
      <c r="H24" s="76">
        <f t="shared" si="2"/>
        <v>0</v>
      </c>
      <c r="I24" s="77">
        <f t="shared" si="3"/>
        <v>0</v>
      </c>
      <c r="J24" s="8"/>
      <c r="K24" s="8"/>
      <c r="L24" s="8"/>
      <c r="M24" s="8"/>
      <c r="N24" s="8"/>
      <c r="P24" s="72">
        <v>41</v>
      </c>
      <c r="Q24" s="59">
        <f>ROUND(P24*18/P3,0)</f>
        <v>46</v>
      </c>
    </row>
    <row r="25" spans="1:17" s="57" customFormat="1" ht="18" customHeight="1">
      <c r="A25" s="154"/>
      <c r="B25" s="251"/>
      <c r="C25" s="73"/>
      <c r="D25" s="74"/>
      <c r="E25" s="89"/>
      <c r="F25" s="12"/>
      <c r="G25" s="12"/>
      <c r="H25" s="76">
        <f t="shared" si="2"/>
        <v>0</v>
      </c>
      <c r="I25" s="77">
        <f t="shared" si="3"/>
        <v>0</v>
      </c>
      <c r="J25" s="8"/>
      <c r="K25" s="8"/>
      <c r="L25" s="8"/>
      <c r="M25" s="8"/>
      <c r="N25" s="8"/>
      <c r="Q25" s="58"/>
    </row>
    <row r="26" spans="1:17" s="57" customFormat="1" ht="18" customHeight="1">
      <c r="A26" s="154"/>
      <c r="B26" s="251"/>
      <c r="C26" s="74"/>
      <c r="D26" s="106" t="s">
        <v>96</v>
      </c>
      <c r="E26" s="89"/>
      <c r="F26" s="73"/>
      <c r="G26" s="73"/>
      <c r="H26" s="76">
        <f t="shared" si="2"/>
        <v>0</v>
      </c>
      <c r="I26" s="77">
        <f t="shared" si="3"/>
        <v>0</v>
      </c>
      <c r="J26" s="8"/>
      <c r="K26" s="8"/>
      <c r="L26" s="8"/>
      <c r="M26" s="8"/>
      <c r="N26" s="8"/>
      <c r="Q26" s="58"/>
    </row>
    <row r="27" spans="1:17" s="57" customFormat="1" ht="18" customHeight="1">
      <c r="A27" s="154"/>
      <c r="B27" s="190"/>
      <c r="C27" s="73"/>
      <c r="D27" s="74"/>
      <c r="E27" s="75"/>
      <c r="F27" s="73"/>
      <c r="G27" s="73"/>
      <c r="H27" s="76">
        <f t="shared" si="2"/>
        <v>0</v>
      </c>
      <c r="I27" s="77">
        <f t="shared" si="3"/>
        <v>0</v>
      </c>
      <c r="J27" s="8"/>
      <c r="K27" s="8"/>
      <c r="L27" s="8"/>
      <c r="M27" s="8"/>
      <c r="N27" s="8"/>
      <c r="Q27" s="58"/>
    </row>
    <row r="28" spans="1:9" ht="24" customHeight="1">
      <c r="A28" s="1"/>
      <c r="B28" s="3"/>
      <c r="C28" s="107"/>
      <c r="D28" s="108">
        <f>SUM(D4:D27)</f>
        <v>639</v>
      </c>
      <c r="E28" s="107"/>
      <c r="F28" s="3"/>
      <c r="G28" s="109">
        <f>SUM(G4:G27)</f>
        <v>39</v>
      </c>
      <c r="H28" s="109">
        <f>SUM(H4:H27)</f>
        <v>7310000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99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190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30</v>
      </c>
      <c r="B4" s="251">
        <v>10.1</v>
      </c>
      <c r="C4" s="73">
        <v>39</v>
      </c>
      <c r="D4" s="93">
        <v>30</v>
      </c>
      <c r="E4" s="89">
        <v>4.35</v>
      </c>
      <c r="F4" s="73">
        <v>1</v>
      </c>
      <c r="G4" s="73">
        <v>10</v>
      </c>
      <c r="H4" s="76">
        <f>N4+I4</f>
        <v>1910000</v>
      </c>
      <c r="I4" s="77">
        <f aca="true" t="shared" si="0" ref="I4:I11">IF(E4&gt;0,$N$13,0)+IF(C4&gt;0,50000,0)+IF(C12&lt;0,50000,0)</f>
        <v>410000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10</v>
      </c>
      <c r="B5" s="251">
        <v>13.2</v>
      </c>
      <c r="C5" s="73">
        <v>37</v>
      </c>
      <c r="D5" s="93">
        <v>32</v>
      </c>
      <c r="E5" s="75"/>
      <c r="F5" s="73">
        <v>2</v>
      </c>
      <c r="G5" s="73">
        <v>8</v>
      </c>
      <c r="H5" s="76">
        <f aca="true" t="shared" si="1" ref="H5:H11">N5+I5</f>
        <v>1250000</v>
      </c>
      <c r="I5" s="77">
        <f t="shared" si="0"/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34</v>
      </c>
      <c r="B6" s="251">
        <v>15.4</v>
      </c>
      <c r="C6" s="73">
        <v>36</v>
      </c>
      <c r="D6" s="93">
        <v>31</v>
      </c>
      <c r="E6" s="89"/>
      <c r="F6" s="73">
        <v>3</v>
      </c>
      <c r="G6" s="12">
        <v>6</v>
      </c>
      <c r="H6" s="76">
        <f t="shared" si="1"/>
        <v>950000</v>
      </c>
      <c r="I6" s="77">
        <f t="shared" si="0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6" s="82" customFormat="1" ht="18" customHeight="1">
      <c r="A7" s="154" t="s">
        <v>171</v>
      </c>
      <c r="B7" s="251">
        <v>11.9</v>
      </c>
      <c r="C7" s="73">
        <v>35</v>
      </c>
      <c r="D7" s="93">
        <v>32</v>
      </c>
      <c r="E7" s="75"/>
      <c r="F7" s="73">
        <v>4</v>
      </c>
      <c r="G7" s="73">
        <v>5</v>
      </c>
      <c r="H7" s="76">
        <f t="shared" si="1"/>
        <v>770000</v>
      </c>
      <c r="I7" s="77">
        <f t="shared" si="0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8"/>
    </row>
    <row r="8" spans="1:14" s="82" customFormat="1" ht="18" customHeight="1">
      <c r="A8" s="154" t="s">
        <v>48</v>
      </c>
      <c r="B8" s="251">
        <v>7.1</v>
      </c>
      <c r="C8" s="73">
        <v>34</v>
      </c>
      <c r="D8" s="93">
        <v>29</v>
      </c>
      <c r="E8" s="75"/>
      <c r="F8" s="73">
        <v>5</v>
      </c>
      <c r="G8" s="73">
        <v>4</v>
      </c>
      <c r="H8" s="76">
        <f t="shared" si="1"/>
        <v>650000</v>
      </c>
      <c r="I8" s="77">
        <f t="shared" si="0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14</v>
      </c>
      <c r="B9" s="251">
        <v>12</v>
      </c>
      <c r="C9" s="73">
        <v>34</v>
      </c>
      <c r="D9" s="93">
        <v>29</v>
      </c>
      <c r="E9" s="89"/>
      <c r="F9" s="73">
        <v>6</v>
      </c>
      <c r="G9" s="90">
        <v>3</v>
      </c>
      <c r="H9" s="76">
        <f t="shared" si="1"/>
        <v>530000</v>
      </c>
      <c r="I9" s="77">
        <f t="shared" si="0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42</v>
      </c>
      <c r="B10" s="251">
        <v>18.7</v>
      </c>
      <c r="C10" s="74">
        <v>34</v>
      </c>
      <c r="D10" s="93">
        <v>34</v>
      </c>
      <c r="E10" s="75"/>
      <c r="F10" s="73">
        <v>7</v>
      </c>
      <c r="G10" s="73">
        <v>2</v>
      </c>
      <c r="H10" s="76">
        <f t="shared" si="1"/>
        <v>410000</v>
      </c>
      <c r="I10" s="77">
        <f t="shared" si="0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52</v>
      </c>
      <c r="B11" s="251">
        <v>12.2</v>
      </c>
      <c r="C11" s="74">
        <v>33</v>
      </c>
      <c r="D11" s="93">
        <v>36</v>
      </c>
      <c r="E11" s="89"/>
      <c r="F11" s="73">
        <v>8</v>
      </c>
      <c r="G11" s="73">
        <v>1</v>
      </c>
      <c r="H11" s="76">
        <f t="shared" si="1"/>
        <v>290000</v>
      </c>
      <c r="I11" s="77">
        <f t="shared" si="0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38</v>
      </c>
      <c r="B12" s="251">
        <v>13</v>
      </c>
      <c r="C12" s="73">
        <v>33</v>
      </c>
      <c r="D12" s="74">
        <v>33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18</v>
      </c>
      <c r="B13" s="251">
        <v>14.2</v>
      </c>
      <c r="C13" s="74">
        <v>33</v>
      </c>
      <c r="D13" s="74">
        <v>30</v>
      </c>
      <c r="E13" s="89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40</v>
      </c>
      <c r="B14" s="251">
        <v>21.9</v>
      </c>
      <c r="C14" s="73">
        <v>32</v>
      </c>
      <c r="D14" s="93">
        <v>34</v>
      </c>
      <c r="E14" s="89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32</v>
      </c>
      <c r="B15" s="251">
        <v>14.4</v>
      </c>
      <c r="C15" s="74">
        <v>31</v>
      </c>
      <c r="D15" s="93">
        <v>34</v>
      </c>
      <c r="E15" s="75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44</v>
      </c>
      <c r="B16" s="251">
        <v>15.6</v>
      </c>
      <c r="C16" s="73">
        <v>28</v>
      </c>
      <c r="D16" s="93">
        <v>38</v>
      </c>
      <c r="E16" s="75"/>
      <c r="F16" s="12"/>
      <c r="G16" s="12"/>
      <c r="H16" s="76">
        <f t="shared" si="2"/>
        <v>50000</v>
      </c>
      <c r="I16" s="77">
        <f t="shared" si="3"/>
        <v>50000</v>
      </c>
    </row>
    <row r="17" spans="1:16" s="82" customFormat="1" ht="18" customHeight="1">
      <c r="A17" s="154" t="s">
        <v>28</v>
      </c>
      <c r="B17" s="251">
        <v>11.5</v>
      </c>
      <c r="C17" s="74">
        <v>27</v>
      </c>
      <c r="D17" s="93">
        <v>35</v>
      </c>
      <c r="E17" s="75"/>
      <c r="F17" s="12"/>
      <c r="G17" s="12"/>
      <c r="H17" s="76">
        <f t="shared" si="2"/>
        <v>50000</v>
      </c>
      <c r="I17" s="77">
        <f t="shared" si="3"/>
        <v>50000</v>
      </c>
      <c r="O17" s="87"/>
      <c r="P17" s="88"/>
    </row>
    <row r="18" spans="1:12" s="82" customFormat="1" ht="18" customHeight="1">
      <c r="A18" s="154" t="s">
        <v>50</v>
      </c>
      <c r="B18" s="251">
        <v>24.2</v>
      </c>
      <c r="C18" s="73">
        <v>23</v>
      </c>
      <c r="D18" s="74">
        <v>36</v>
      </c>
      <c r="E18" s="75"/>
      <c r="F18" s="73"/>
      <c r="G18" s="73"/>
      <c r="H18" s="76">
        <f t="shared" si="2"/>
        <v>50000</v>
      </c>
      <c r="I18" s="77">
        <f t="shared" si="3"/>
        <v>50000</v>
      </c>
      <c r="J18" s="88"/>
      <c r="K18" s="88"/>
      <c r="L18" s="88"/>
    </row>
    <row r="19" spans="1:12" s="82" customFormat="1" ht="18" customHeight="1">
      <c r="A19" s="154"/>
      <c r="B19" s="251"/>
      <c r="C19" s="73"/>
      <c r="D19" s="93"/>
      <c r="E19" s="75"/>
      <c r="F19" s="73"/>
      <c r="G19" s="73"/>
      <c r="H19" s="76">
        <f t="shared" si="2"/>
        <v>0</v>
      </c>
      <c r="I19" s="77">
        <f t="shared" si="3"/>
        <v>0</v>
      </c>
      <c r="J19" s="88"/>
      <c r="K19" s="88"/>
      <c r="L19" s="88"/>
    </row>
    <row r="20" spans="1:9" s="57" customFormat="1" ht="18" customHeight="1">
      <c r="A20" s="154"/>
      <c r="B20" s="251"/>
      <c r="C20" s="73"/>
      <c r="D20" s="93"/>
      <c r="E20" s="75"/>
      <c r="F20" s="12"/>
      <c r="G20" s="12"/>
      <c r="H20" s="76">
        <f t="shared" si="2"/>
        <v>0</v>
      </c>
      <c r="I20" s="77">
        <f t="shared" si="3"/>
        <v>0</v>
      </c>
    </row>
    <row r="21" spans="1:9" s="57" customFormat="1" ht="18" customHeight="1">
      <c r="A21" s="154"/>
      <c r="B21" s="251"/>
      <c r="C21" s="73"/>
      <c r="D21" s="93"/>
      <c r="E21" s="75"/>
      <c r="F21" s="12"/>
      <c r="G21" s="12"/>
      <c r="H21" s="76">
        <f t="shared" si="2"/>
        <v>0</v>
      </c>
      <c r="I21" s="77">
        <f t="shared" si="3"/>
        <v>0</v>
      </c>
    </row>
    <row r="22" spans="1:9" s="57" customFormat="1" ht="18" customHeight="1">
      <c r="A22" s="154"/>
      <c r="B22" s="251"/>
      <c r="C22" s="74"/>
      <c r="D22" s="74"/>
      <c r="E22" s="75"/>
      <c r="F22" s="12"/>
      <c r="G22" s="12"/>
      <c r="H22" s="76">
        <f t="shared" si="2"/>
        <v>0</v>
      </c>
      <c r="I22" s="77">
        <f t="shared" si="3"/>
        <v>0</v>
      </c>
    </row>
    <row r="23" spans="1:9" s="57" customFormat="1" ht="18" customHeight="1">
      <c r="A23" s="154"/>
      <c r="B23" s="251"/>
      <c r="C23" s="93"/>
      <c r="D23" s="93"/>
      <c r="E23" s="75"/>
      <c r="F23" s="12"/>
      <c r="G23" s="12"/>
      <c r="H23" s="76">
        <f t="shared" si="2"/>
        <v>0</v>
      </c>
      <c r="I23" s="77">
        <f t="shared" si="3"/>
        <v>0</v>
      </c>
    </row>
    <row r="24" spans="1:9" s="57" customFormat="1" ht="18" customHeight="1">
      <c r="A24" s="154"/>
      <c r="B24" s="251"/>
      <c r="C24" s="12"/>
      <c r="D24" s="93"/>
      <c r="E24" s="75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3"/>
      <c r="D25" s="93"/>
      <c r="E25" s="89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54"/>
      <c r="B26" s="251"/>
      <c r="C26" s="73"/>
      <c r="D26" s="93"/>
      <c r="E26" s="89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54"/>
      <c r="B27" s="190"/>
      <c r="C27" s="73"/>
      <c r="D27" s="74"/>
      <c r="E27" s="75"/>
      <c r="F27" s="73"/>
      <c r="G27" s="73"/>
      <c r="H27" s="76">
        <f t="shared" si="2"/>
        <v>0</v>
      </c>
      <c r="I27" s="77">
        <f t="shared" si="3"/>
        <v>0</v>
      </c>
    </row>
    <row r="28" spans="1:9" ht="24" customHeight="1">
      <c r="A28" s="1"/>
      <c r="B28" s="3"/>
      <c r="C28" s="107"/>
      <c r="D28" s="108">
        <f>SUM(D4:D27)</f>
        <v>493</v>
      </c>
      <c r="E28" s="107"/>
      <c r="F28" s="3"/>
      <c r="G28" s="109">
        <f>SUM(G4:G27)</f>
        <v>39</v>
      </c>
      <c r="H28" s="109">
        <f>SUM(H4:H27)</f>
        <v>7110000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106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189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34</v>
      </c>
      <c r="B4" s="251">
        <v>15.7</v>
      </c>
      <c r="C4" s="73">
        <v>37</v>
      </c>
      <c r="D4" s="74">
        <v>32</v>
      </c>
      <c r="E4" s="75"/>
      <c r="F4" s="73">
        <v>1</v>
      </c>
      <c r="G4" s="73">
        <v>10</v>
      </c>
      <c r="H4" s="76">
        <v>1650000</v>
      </c>
      <c r="I4" s="77">
        <f aca="true" t="shared" si="0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10</v>
      </c>
      <c r="B5" s="251">
        <v>13.2</v>
      </c>
      <c r="C5" s="73">
        <v>35</v>
      </c>
      <c r="D5" s="93">
        <v>35</v>
      </c>
      <c r="E5" s="89">
        <v>3.88</v>
      </c>
      <c r="F5" s="73">
        <v>2</v>
      </c>
      <c r="G5" s="73">
        <v>8</v>
      </c>
      <c r="H5" s="76">
        <f>N5+I5</f>
        <v>1610000</v>
      </c>
      <c r="I5" s="77">
        <f t="shared" si="0"/>
        <v>410000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12</v>
      </c>
      <c r="B6" s="251">
        <v>18</v>
      </c>
      <c r="C6" s="73">
        <v>34</v>
      </c>
      <c r="D6" s="74">
        <v>34</v>
      </c>
      <c r="E6" s="89"/>
      <c r="F6" s="12">
        <v>3</v>
      </c>
      <c r="G6" s="12">
        <v>6</v>
      </c>
      <c r="H6" s="76">
        <v>1050000</v>
      </c>
      <c r="I6" s="77">
        <f t="shared" si="0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36</v>
      </c>
      <c r="B7" s="251">
        <v>18.8</v>
      </c>
      <c r="C7" s="73">
        <v>34</v>
      </c>
      <c r="D7" s="74">
        <v>32</v>
      </c>
      <c r="E7" s="89"/>
      <c r="F7" s="73">
        <v>4</v>
      </c>
      <c r="G7" s="73">
        <v>5</v>
      </c>
      <c r="H7" s="76">
        <f>N7+I7</f>
        <v>770000</v>
      </c>
      <c r="I7" s="77">
        <f t="shared" si="0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28</v>
      </c>
      <c r="B8" s="251">
        <v>11.4</v>
      </c>
      <c r="C8" s="74">
        <v>33</v>
      </c>
      <c r="D8" s="74">
        <v>33</v>
      </c>
      <c r="E8" s="75">
        <v>6.2</v>
      </c>
      <c r="F8" s="73">
        <v>5</v>
      </c>
      <c r="G8" s="73">
        <v>4</v>
      </c>
      <c r="H8" s="76">
        <v>750000</v>
      </c>
      <c r="I8" s="77">
        <f t="shared" si="0"/>
        <v>410000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32</v>
      </c>
      <c r="B9" s="251">
        <v>14.4</v>
      </c>
      <c r="C9" s="73">
        <v>33</v>
      </c>
      <c r="D9" s="93">
        <v>28</v>
      </c>
      <c r="E9" s="75"/>
      <c r="F9" s="90">
        <v>6</v>
      </c>
      <c r="G9" s="90">
        <v>3</v>
      </c>
      <c r="H9" s="76">
        <f>N9+I9</f>
        <v>530000</v>
      </c>
      <c r="I9" s="77">
        <f t="shared" si="0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20</v>
      </c>
      <c r="B10" s="251">
        <v>16.1</v>
      </c>
      <c r="C10" s="74">
        <v>33</v>
      </c>
      <c r="D10" s="93">
        <v>31</v>
      </c>
      <c r="E10" s="75"/>
      <c r="F10" s="73">
        <v>7</v>
      </c>
      <c r="G10" s="73">
        <v>2</v>
      </c>
      <c r="H10" s="76">
        <f>N10+I10</f>
        <v>410000</v>
      </c>
      <c r="I10" s="77">
        <f t="shared" si="0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42</v>
      </c>
      <c r="B11" s="251">
        <v>18.7</v>
      </c>
      <c r="C11" s="73">
        <v>33</v>
      </c>
      <c r="D11" s="93">
        <v>36</v>
      </c>
      <c r="E11" s="75"/>
      <c r="F11" s="73">
        <v>8</v>
      </c>
      <c r="G11" s="73">
        <v>1</v>
      </c>
      <c r="H11" s="76">
        <v>390000</v>
      </c>
      <c r="I11" s="77">
        <f t="shared" si="0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18</v>
      </c>
      <c r="B12" s="251">
        <v>14.1</v>
      </c>
      <c r="C12" s="73">
        <v>32</v>
      </c>
      <c r="D12" s="74">
        <v>27</v>
      </c>
      <c r="E12" s="75"/>
      <c r="F12" s="73"/>
      <c r="G12" s="73"/>
      <c r="H12" s="76">
        <f>I12</f>
        <v>50000</v>
      </c>
      <c r="I12" s="77">
        <f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30</v>
      </c>
      <c r="B13" s="251">
        <v>10</v>
      </c>
      <c r="C13" s="73">
        <v>31</v>
      </c>
      <c r="D13" s="74">
        <v>35</v>
      </c>
      <c r="E13" s="89">
        <v>5.89</v>
      </c>
      <c r="F13" s="73"/>
      <c r="G13" s="73"/>
      <c r="H13" s="76">
        <v>150000</v>
      </c>
      <c r="I13" s="77">
        <f aca="true" t="shared" si="1" ref="I13:I27">IF(E13&gt;0,$N$13,0)+IF(C13&gt;0,50000,0)+IF(C13&lt;0,50000,0)</f>
        <v>410000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38</v>
      </c>
      <c r="B14" s="251">
        <v>12.9</v>
      </c>
      <c r="C14" s="74">
        <v>30</v>
      </c>
      <c r="D14" s="93">
        <v>38</v>
      </c>
      <c r="E14" s="75" t="s">
        <v>302</v>
      </c>
      <c r="F14" s="73"/>
      <c r="G14" s="73"/>
      <c r="H14" s="76">
        <v>250000</v>
      </c>
      <c r="I14" s="77">
        <f t="shared" si="1"/>
        <v>410000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16</v>
      </c>
      <c r="B15" s="251">
        <v>19.9</v>
      </c>
      <c r="C15" s="73">
        <v>30</v>
      </c>
      <c r="D15" s="74">
        <v>38</v>
      </c>
      <c r="E15" s="89"/>
      <c r="F15" s="73"/>
      <c r="G15" s="73"/>
      <c r="H15" s="76">
        <f aca="true" t="shared" si="2" ref="H15:H27">I15</f>
        <v>50000</v>
      </c>
      <c r="I15" s="77">
        <f t="shared" si="1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8</v>
      </c>
      <c r="B16" s="251">
        <v>20.6</v>
      </c>
      <c r="C16" s="93">
        <v>30</v>
      </c>
      <c r="D16" s="74">
        <v>34</v>
      </c>
      <c r="E16" s="89"/>
      <c r="F16" s="12"/>
      <c r="G16" s="12"/>
      <c r="H16" s="76">
        <f t="shared" si="2"/>
        <v>50000</v>
      </c>
      <c r="I16" s="77">
        <f t="shared" si="1"/>
        <v>50000</v>
      </c>
    </row>
    <row r="17" spans="1:13" s="82" customFormat="1" ht="18" customHeight="1">
      <c r="A17" s="154" t="s">
        <v>26</v>
      </c>
      <c r="B17" s="251">
        <v>23.8</v>
      </c>
      <c r="C17" s="73">
        <v>28</v>
      </c>
      <c r="D17" s="74">
        <v>37</v>
      </c>
      <c r="E17" s="89"/>
      <c r="F17" s="12"/>
      <c r="G17" s="12"/>
      <c r="H17" s="76">
        <f t="shared" si="2"/>
        <v>50000</v>
      </c>
      <c r="I17" s="77">
        <f t="shared" si="1"/>
        <v>50000</v>
      </c>
      <c r="J17" s="87"/>
      <c r="K17" s="87"/>
      <c r="L17" s="87"/>
      <c r="M17" s="88"/>
    </row>
    <row r="18" spans="1:13" s="82" customFormat="1" ht="18" customHeight="1">
      <c r="A18" s="154" t="s">
        <v>14</v>
      </c>
      <c r="B18" s="251">
        <v>11.9</v>
      </c>
      <c r="C18" s="74">
        <v>27</v>
      </c>
      <c r="D18" s="93">
        <v>36</v>
      </c>
      <c r="E18" s="75"/>
      <c r="F18" s="73"/>
      <c r="G18" s="73"/>
      <c r="H18" s="76">
        <f t="shared" si="2"/>
        <v>50000</v>
      </c>
      <c r="I18" s="77">
        <f t="shared" si="1"/>
        <v>50000</v>
      </c>
      <c r="J18" s="88"/>
      <c r="K18" s="88"/>
      <c r="L18" s="88"/>
      <c r="M18" s="88"/>
    </row>
    <row r="19" spans="1:13" s="82" customFormat="1" ht="18" customHeight="1">
      <c r="A19" s="154" t="s">
        <v>44</v>
      </c>
      <c r="B19" s="251">
        <v>15.5</v>
      </c>
      <c r="C19" s="73">
        <v>27</v>
      </c>
      <c r="D19" s="74">
        <v>32</v>
      </c>
      <c r="E19" s="75"/>
      <c r="F19" s="73"/>
      <c r="G19" s="73"/>
      <c r="H19" s="76">
        <f t="shared" si="2"/>
        <v>50000</v>
      </c>
      <c r="I19" s="77">
        <f t="shared" si="1"/>
        <v>50000</v>
      </c>
      <c r="J19" s="88"/>
      <c r="K19" s="88"/>
      <c r="L19" s="88"/>
      <c r="M19" s="88"/>
    </row>
    <row r="20" spans="1:9" s="57" customFormat="1" ht="18" customHeight="1">
      <c r="A20" s="154" t="s">
        <v>40</v>
      </c>
      <c r="B20" s="251">
        <v>21.8</v>
      </c>
      <c r="C20" s="12">
        <v>27</v>
      </c>
      <c r="D20" s="74">
        <v>35</v>
      </c>
      <c r="E20" s="75"/>
      <c r="F20" s="12"/>
      <c r="G20" s="12"/>
      <c r="H20" s="76">
        <f t="shared" si="2"/>
        <v>50000</v>
      </c>
      <c r="I20" s="77">
        <f t="shared" si="1"/>
        <v>50000</v>
      </c>
    </row>
    <row r="21" spans="1:9" s="57" customFormat="1" ht="18" customHeight="1">
      <c r="A21" s="154" t="s">
        <v>46</v>
      </c>
      <c r="B21" s="251">
        <v>20.8</v>
      </c>
      <c r="C21" s="73">
        <v>26</v>
      </c>
      <c r="D21" s="74">
        <v>37</v>
      </c>
      <c r="E21" s="75"/>
      <c r="F21" s="12"/>
      <c r="G21" s="12"/>
      <c r="H21" s="76">
        <f t="shared" si="2"/>
        <v>50000</v>
      </c>
      <c r="I21" s="77">
        <f t="shared" si="1"/>
        <v>50000</v>
      </c>
    </row>
    <row r="22" spans="1:9" s="57" customFormat="1" ht="18" customHeight="1">
      <c r="A22" s="154"/>
      <c r="B22" s="251"/>
      <c r="C22" s="74"/>
      <c r="D22" s="93"/>
      <c r="E22" s="75"/>
      <c r="F22" s="12"/>
      <c r="G22" s="12"/>
      <c r="H22" s="76">
        <f t="shared" si="2"/>
        <v>0</v>
      </c>
      <c r="I22" s="77">
        <f t="shared" si="1"/>
        <v>0</v>
      </c>
    </row>
    <row r="23" spans="1:9" s="57" customFormat="1" ht="18" customHeight="1">
      <c r="A23" s="154"/>
      <c r="B23" s="251"/>
      <c r="C23" s="73"/>
      <c r="D23" s="93"/>
      <c r="E23" s="75"/>
      <c r="F23" s="12"/>
      <c r="G23" s="12"/>
      <c r="H23" s="76">
        <f t="shared" si="2"/>
        <v>0</v>
      </c>
      <c r="I23" s="77">
        <f t="shared" si="1"/>
        <v>0</v>
      </c>
    </row>
    <row r="24" spans="1:9" s="57" customFormat="1" ht="18" customHeight="1">
      <c r="A24" s="154"/>
      <c r="B24" s="251"/>
      <c r="C24" s="74"/>
      <c r="D24" s="74"/>
      <c r="E24" s="89"/>
      <c r="F24" s="12"/>
      <c r="G24" s="12"/>
      <c r="H24" s="76">
        <f t="shared" si="2"/>
        <v>0</v>
      </c>
      <c r="I24" s="77">
        <f t="shared" si="1"/>
        <v>0</v>
      </c>
    </row>
    <row r="25" spans="1:9" s="57" customFormat="1" ht="18" customHeight="1">
      <c r="A25" s="154"/>
      <c r="B25" s="190"/>
      <c r="C25" s="73"/>
      <c r="D25" s="74"/>
      <c r="E25" s="75"/>
      <c r="F25" s="12"/>
      <c r="G25" s="12"/>
      <c r="H25" s="76">
        <f t="shared" si="2"/>
        <v>0</v>
      </c>
      <c r="I25" s="77">
        <f t="shared" si="1"/>
        <v>0</v>
      </c>
    </row>
    <row r="26" spans="1:9" s="57" customFormat="1" ht="18" customHeight="1">
      <c r="A26" s="154"/>
      <c r="B26" s="190"/>
      <c r="C26" s="73"/>
      <c r="D26" s="74"/>
      <c r="E26" s="75"/>
      <c r="F26" s="73"/>
      <c r="G26" s="73"/>
      <c r="H26" s="76">
        <f t="shared" si="2"/>
        <v>0</v>
      </c>
      <c r="I26" s="77">
        <f t="shared" si="1"/>
        <v>0</v>
      </c>
    </row>
    <row r="27" spans="1:9" s="57" customFormat="1" ht="18" customHeight="1">
      <c r="A27" s="154"/>
      <c r="B27" s="190"/>
      <c r="C27" s="73"/>
      <c r="D27" s="74"/>
      <c r="E27" s="75"/>
      <c r="F27" s="73"/>
      <c r="G27" s="73"/>
      <c r="H27" s="76">
        <f t="shared" si="2"/>
        <v>0</v>
      </c>
      <c r="I27" s="77">
        <f t="shared" si="1"/>
        <v>0</v>
      </c>
    </row>
    <row r="28" spans="1:9" ht="24" customHeight="1">
      <c r="A28" s="1"/>
      <c r="B28" s="3"/>
      <c r="C28" s="107"/>
      <c r="D28" s="108">
        <f>SUM(D4:D27)</f>
        <v>610</v>
      </c>
      <c r="E28" s="107"/>
      <c r="F28" s="3"/>
      <c r="G28" s="109">
        <f>SUM(G4:G27)</f>
        <v>39</v>
      </c>
      <c r="H28" s="109">
        <f>SUM(H4:H27)</f>
        <v>7960000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2.75" customHeight="1">
      <c r="B1" s="441" t="s">
        <v>300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284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46</v>
      </c>
      <c r="B4" s="251">
        <v>20.8</v>
      </c>
      <c r="C4" s="73">
        <v>33</v>
      </c>
      <c r="D4" s="74">
        <v>36</v>
      </c>
      <c r="E4" s="89"/>
      <c r="F4" s="73">
        <v>1</v>
      </c>
      <c r="G4" s="73">
        <v>10</v>
      </c>
      <c r="H4" s="76">
        <f aca="true" t="shared" si="0" ref="H4:H11">N4+I4</f>
        <v>1300000</v>
      </c>
      <c r="I4" s="77">
        <f>2*IF(E4&gt;0,$N$13,0)+IF(C4&gt;0,50000,0)+IF(C12&lt;0,50000,0)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1250000</v>
      </c>
    </row>
    <row r="5" spans="1:14" s="82" customFormat="1" ht="18" customHeight="1">
      <c r="A5" s="154" t="s">
        <v>42</v>
      </c>
      <c r="B5" s="251">
        <v>18.6</v>
      </c>
      <c r="C5" s="73">
        <v>30</v>
      </c>
      <c r="D5" s="93">
        <v>36</v>
      </c>
      <c r="E5" s="75">
        <v>2.24</v>
      </c>
      <c r="F5" s="73">
        <v>2</v>
      </c>
      <c r="G5" s="73">
        <v>8</v>
      </c>
      <c r="H5" s="76">
        <f t="shared" si="0"/>
        <v>1350000</v>
      </c>
      <c r="I5" s="77">
        <f>IF(E5&gt;0,$N$13,0)+IF(C5&gt;0,50000,0)+IF(C13&lt;0,50000,0)</f>
        <v>350000</v>
      </c>
      <c r="J5" s="83" t="s">
        <v>87</v>
      </c>
      <c r="K5" s="84"/>
      <c r="L5" s="85"/>
      <c r="M5" s="86">
        <v>8</v>
      </c>
      <c r="N5" s="76">
        <f>N12*20%</f>
        <v>1000000</v>
      </c>
    </row>
    <row r="6" spans="1:14" s="82" customFormat="1" ht="18" customHeight="1">
      <c r="A6" s="154" t="s">
        <v>30</v>
      </c>
      <c r="B6" s="251">
        <v>9.8</v>
      </c>
      <c r="C6" s="74">
        <v>29</v>
      </c>
      <c r="D6" s="93">
        <v>36</v>
      </c>
      <c r="E6" s="89" t="s">
        <v>272</v>
      </c>
      <c r="F6" s="12">
        <v>3</v>
      </c>
      <c r="G6" s="12">
        <v>6</v>
      </c>
      <c r="H6" s="76">
        <v>1400000</v>
      </c>
      <c r="I6" s="77">
        <f aca="true" t="shared" si="1" ref="I6:I11">IF(E6&gt;0,$N$13,0)+IF(C6&gt;0,50000,0)+IF(C14&lt;0,50000,0)</f>
        <v>350000</v>
      </c>
      <c r="J6" s="83" t="s">
        <v>88</v>
      </c>
      <c r="K6" s="84"/>
      <c r="L6" s="85"/>
      <c r="M6" s="86">
        <v>6</v>
      </c>
      <c r="N6" s="76">
        <f>N12*15%</f>
        <v>750000</v>
      </c>
    </row>
    <row r="7" spans="1:18" s="82" customFormat="1" ht="18" customHeight="1">
      <c r="A7" s="154" t="s">
        <v>14</v>
      </c>
      <c r="B7" s="251">
        <v>11.8</v>
      </c>
      <c r="C7" s="73">
        <v>25</v>
      </c>
      <c r="D7" s="74">
        <v>34</v>
      </c>
      <c r="E7" s="89"/>
      <c r="F7" s="73">
        <v>4</v>
      </c>
      <c r="G7" s="73">
        <v>5</v>
      </c>
      <c r="H7" s="76">
        <v>750000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600000</v>
      </c>
      <c r="O7" s="87"/>
      <c r="P7" s="87"/>
      <c r="Q7" s="87"/>
      <c r="R7" s="88"/>
    </row>
    <row r="8" spans="1:14" s="82" customFormat="1" ht="18" customHeight="1">
      <c r="A8" s="154" t="s">
        <v>36</v>
      </c>
      <c r="B8" s="251">
        <v>18.7</v>
      </c>
      <c r="C8" s="12">
        <v>25</v>
      </c>
      <c r="D8" s="74">
        <v>34</v>
      </c>
      <c r="E8" s="75"/>
      <c r="F8" s="73">
        <v>5</v>
      </c>
      <c r="G8" s="73">
        <v>4</v>
      </c>
      <c r="H8" s="76">
        <f t="shared" si="0"/>
        <v>550000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500000</v>
      </c>
    </row>
    <row r="9" spans="1:14" s="82" customFormat="1" ht="18" customHeight="1">
      <c r="A9" s="154" t="s">
        <v>32</v>
      </c>
      <c r="B9" s="251">
        <v>14.3</v>
      </c>
      <c r="C9" s="73">
        <v>24</v>
      </c>
      <c r="D9" s="74">
        <v>36</v>
      </c>
      <c r="E9" s="89" t="s">
        <v>298</v>
      </c>
      <c r="F9" s="90">
        <v>6</v>
      </c>
      <c r="G9" s="90">
        <v>3</v>
      </c>
      <c r="H9" s="76">
        <v>1050000</v>
      </c>
      <c r="I9" s="77">
        <f t="shared" si="1"/>
        <v>350000</v>
      </c>
      <c r="J9" s="83" t="s">
        <v>91</v>
      </c>
      <c r="K9" s="84"/>
      <c r="L9" s="85"/>
      <c r="M9" s="86">
        <v>3</v>
      </c>
      <c r="N9" s="76">
        <f>N12*8%</f>
        <v>400000</v>
      </c>
    </row>
    <row r="10" spans="1:14" s="82" customFormat="1" ht="18" customHeight="1">
      <c r="A10" s="154" t="s">
        <v>44</v>
      </c>
      <c r="B10" s="251">
        <v>15.4</v>
      </c>
      <c r="C10" s="73">
        <v>24</v>
      </c>
      <c r="D10" s="74">
        <v>35</v>
      </c>
      <c r="E10" s="75"/>
      <c r="F10" s="73">
        <v>7</v>
      </c>
      <c r="G10" s="73">
        <v>2</v>
      </c>
      <c r="H10" s="76">
        <f t="shared" si="0"/>
        <v>350000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300000</v>
      </c>
    </row>
    <row r="11" spans="1:14" s="82" customFormat="1" ht="18" customHeight="1">
      <c r="A11" s="154" t="s">
        <v>16</v>
      </c>
      <c r="B11" s="251">
        <v>19.8</v>
      </c>
      <c r="C11" s="74">
        <v>24</v>
      </c>
      <c r="D11" s="74">
        <v>40</v>
      </c>
      <c r="E11" s="75"/>
      <c r="F11" s="73">
        <v>8</v>
      </c>
      <c r="G11" s="73">
        <v>1</v>
      </c>
      <c r="H11" s="76">
        <f t="shared" si="0"/>
        <v>250000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200000</v>
      </c>
    </row>
    <row r="12" spans="1:14" s="82" customFormat="1" ht="18" customHeight="1">
      <c r="A12" s="154" t="s">
        <v>10</v>
      </c>
      <c r="B12" s="251">
        <v>13.1</v>
      </c>
      <c r="C12" s="73">
        <v>23</v>
      </c>
      <c r="D12" s="74">
        <v>38</v>
      </c>
      <c r="E12" s="75"/>
      <c r="F12" s="73"/>
      <c r="G12" s="73"/>
      <c r="H12" s="76">
        <f>I12</f>
        <v>50000</v>
      </c>
      <c r="I12" s="77">
        <f aca="true" t="shared" si="2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5000000</v>
      </c>
    </row>
    <row r="13" spans="1:14" s="82" customFormat="1" ht="18" customHeight="1">
      <c r="A13" s="154" t="s">
        <v>28</v>
      </c>
      <c r="B13" s="251">
        <v>11.3</v>
      </c>
      <c r="C13" s="73">
        <v>21</v>
      </c>
      <c r="D13" s="74">
        <v>39</v>
      </c>
      <c r="E13" s="75"/>
      <c r="F13" s="73"/>
      <c r="G13" s="73"/>
      <c r="H13" s="76">
        <f>I13</f>
        <v>50000</v>
      </c>
      <c r="I13" s="77">
        <f t="shared" si="2"/>
        <v>50000</v>
      </c>
      <c r="J13" s="94" t="s">
        <v>95</v>
      </c>
      <c r="K13" s="95"/>
      <c r="L13" s="96"/>
      <c r="M13" s="97">
        <v>1</v>
      </c>
      <c r="N13" s="98">
        <f>N10</f>
        <v>300000</v>
      </c>
    </row>
    <row r="14" spans="1:14" s="82" customFormat="1" ht="18" customHeight="1">
      <c r="A14" s="154" t="s">
        <v>290</v>
      </c>
      <c r="B14" s="251">
        <v>12.7</v>
      </c>
      <c r="C14" s="74">
        <v>25</v>
      </c>
      <c r="D14" s="413" t="s">
        <v>275</v>
      </c>
      <c r="E14" s="75"/>
      <c r="F14" s="73"/>
      <c r="G14" s="73"/>
      <c r="H14" s="76"/>
      <c r="I14" s="77">
        <f t="shared" si="2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12</v>
      </c>
      <c r="B15" s="251"/>
      <c r="C15" s="73"/>
      <c r="D15" s="74"/>
      <c r="E15" s="89">
        <v>5.9</v>
      </c>
      <c r="F15" s="73"/>
      <c r="G15" s="73"/>
      <c r="H15" s="76">
        <f>I15</f>
        <v>300000</v>
      </c>
      <c r="I15" s="77">
        <f t="shared" si="2"/>
        <v>300000</v>
      </c>
      <c r="J15" s="102"/>
      <c r="K15" s="103"/>
      <c r="L15" s="103"/>
      <c r="M15" s="104"/>
      <c r="N15" s="105"/>
    </row>
    <row r="16" spans="1:9" s="82" customFormat="1" ht="18" customHeight="1">
      <c r="A16" s="154"/>
      <c r="B16" s="251"/>
      <c r="C16" s="73"/>
      <c r="D16" s="93"/>
      <c r="E16" s="89"/>
      <c r="F16" s="12"/>
      <c r="G16" s="12"/>
      <c r="H16" s="76"/>
      <c r="I16" s="77">
        <f t="shared" si="2"/>
        <v>0</v>
      </c>
    </row>
    <row r="17" spans="1:18" s="82" customFormat="1" ht="18" customHeight="1">
      <c r="A17" s="154"/>
      <c r="B17" s="251"/>
      <c r="C17" s="73"/>
      <c r="D17" s="93"/>
      <c r="E17" s="75"/>
      <c r="F17" s="12"/>
      <c r="G17" s="12"/>
      <c r="H17" s="76"/>
      <c r="I17" s="77">
        <f t="shared" si="2"/>
        <v>0</v>
      </c>
      <c r="O17" s="87"/>
      <c r="P17" s="87"/>
      <c r="Q17" s="87"/>
      <c r="R17" s="88"/>
    </row>
    <row r="18" spans="1:13" s="82" customFormat="1" ht="18" customHeight="1">
      <c r="A18" s="154"/>
      <c r="B18" s="251"/>
      <c r="C18" s="73"/>
      <c r="D18" s="93"/>
      <c r="E18" s="75"/>
      <c r="F18" s="73"/>
      <c r="G18" s="73"/>
      <c r="H18" s="76"/>
      <c r="I18" s="77">
        <f t="shared" si="2"/>
        <v>0</v>
      </c>
      <c r="J18" s="88"/>
      <c r="K18" s="88"/>
      <c r="L18" s="88"/>
      <c r="M18" s="88"/>
    </row>
    <row r="19" spans="1:13" s="82" customFormat="1" ht="18" customHeight="1">
      <c r="A19" s="154"/>
      <c r="B19" s="251"/>
      <c r="C19" s="74"/>
      <c r="D19" s="93"/>
      <c r="E19" s="75"/>
      <c r="F19" s="73"/>
      <c r="G19" s="73"/>
      <c r="H19" s="76"/>
      <c r="I19" s="77">
        <f t="shared" si="2"/>
        <v>0</v>
      </c>
      <c r="J19" s="88"/>
      <c r="K19" s="88"/>
      <c r="L19" s="88"/>
      <c r="M19" s="88"/>
    </row>
    <row r="20" spans="1:9" s="57" customFormat="1" ht="18" customHeight="1">
      <c r="A20" s="154"/>
      <c r="B20" s="251"/>
      <c r="C20" s="73"/>
      <c r="D20" s="74"/>
      <c r="E20" s="75"/>
      <c r="F20" s="12"/>
      <c r="G20" s="12"/>
      <c r="H20" s="76"/>
      <c r="I20" s="77">
        <f t="shared" si="2"/>
        <v>0</v>
      </c>
    </row>
    <row r="21" spans="1:9" s="57" customFormat="1" ht="18" customHeight="1">
      <c r="A21" s="154"/>
      <c r="B21" s="251"/>
      <c r="C21" s="73"/>
      <c r="D21" s="74"/>
      <c r="E21" s="75"/>
      <c r="F21" s="12"/>
      <c r="G21" s="12"/>
      <c r="H21" s="76"/>
      <c r="I21" s="77">
        <f t="shared" si="2"/>
        <v>0</v>
      </c>
    </row>
    <row r="22" spans="1:9" s="57" customFormat="1" ht="18" customHeight="1">
      <c r="A22" s="154"/>
      <c r="B22" s="251"/>
      <c r="C22" s="74"/>
      <c r="D22" s="74"/>
      <c r="E22" s="75"/>
      <c r="F22" s="12"/>
      <c r="G22" s="12"/>
      <c r="H22" s="76"/>
      <c r="I22" s="77">
        <f t="shared" si="2"/>
        <v>0</v>
      </c>
    </row>
    <row r="23" spans="1:9" s="57" customFormat="1" ht="18" customHeight="1">
      <c r="A23" s="154"/>
      <c r="B23" s="251"/>
      <c r="C23" s="73"/>
      <c r="D23" s="74"/>
      <c r="E23" s="75"/>
      <c r="F23" s="12"/>
      <c r="G23" s="12"/>
      <c r="H23" s="76"/>
      <c r="I23" s="77">
        <f t="shared" si="2"/>
        <v>0</v>
      </c>
    </row>
    <row r="24" spans="1:9" s="57" customFormat="1" ht="18" customHeight="1">
      <c r="A24" s="154"/>
      <c r="B24" s="251"/>
      <c r="C24" s="73"/>
      <c r="D24" s="93"/>
      <c r="E24" s="75"/>
      <c r="F24" s="12"/>
      <c r="G24" s="12"/>
      <c r="H24" s="76"/>
      <c r="I24" s="77">
        <f t="shared" si="2"/>
        <v>0</v>
      </c>
    </row>
    <row r="25" spans="1:9" s="57" customFormat="1" ht="18" customHeight="1">
      <c r="A25" s="154"/>
      <c r="B25" s="251"/>
      <c r="C25" s="73"/>
      <c r="D25" s="93"/>
      <c r="E25" s="89"/>
      <c r="F25" s="12"/>
      <c r="G25" s="12"/>
      <c r="H25" s="76"/>
      <c r="I25" s="77">
        <f t="shared" si="2"/>
        <v>0</v>
      </c>
    </row>
    <row r="26" spans="1:9" s="57" customFormat="1" ht="18" customHeight="1">
      <c r="A26" s="154"/>
      <c r="B26" s="251"/>
      <c r="C26" s="74"/>
      <c r="D26" s="74"/>
      <c r="E26" s="89"/>
      <c r="F26" s="73"/>
      <c r="G26" s="73"/>
      <c r="H26" s="76"/>
      <c r="I26" s="77">
        <f t="shared" si="2"/>
        <v>0</v>
      </c>
    </row>
    <row r="27" spans="1:9" s="57" customFormat="1" ht="18" customHeight="1">
      <c r="A27" s="154"/>
      <c r="B27" s="251"/>
      <c r="C27" s="93"/>
      <c r="D27" s="74"/>
      <c r="E27" s="75"/>
      <c r="F27" s="73"/>
      <c r="G27" s="73"/>
      <c r="H27" s="76"/>
      <c r="I27" s="77">
        <f t="shared" si="2"/>
        <v>0</v>
      </c>
    </row>
    <row r="28" spans="1:9" ht="24" customHeight="1">
      <c r="A28" s="1"/>
      <c r="B28" s="3"/>
      <c r="C28" s="107"/>
      <c r="D28" s="108">
        <f>SUM(D4:D27)</f>
        <v>364</v>
      </c>
      <c r="E28" s="107"/>
      <c r="F28" s="3"/>
      <c r="G28" s="109">
        <f>SUM(G4:G27)</f>
        <v>39</v>
      </c>
      <c r="H28" s="109">
        <f>SUM(H4:H27)</f>
        <v>7400000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8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287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288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323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30</v>
      </c>
      <c r="B4" s="251"/>
      <c r="C4" s="451">
        <v>105</v>
      </c>
      <c r="D4" s="459"/>
      <c r="E4" s="462"/>
      <c r="F4" s="454">
        <v>1</v>
      </c>
      <c r="G4" s="73">
        <v>10</v>
      </c>
      <c r="H4" s="76">
        <v>950000</v>
      </c>
      <c r="I4" s="77">
        <f>IF(E4&gt;0,N26,0)+IF(C4&gt;0,50000,0)+IF(C13&lt;0,50000,0)</f>
        <v>50000</v>
      </c>
      <c r="J4" s="78" t="s">
        <v>86</v>
      </c>
      <c r="K4" s="79"/>
      <c r="L4" s="80"/>
      <c r="M4" s="81">
        <v>10</v>
      </c>
      <c r="N4" s="76">
        <f>N12*25%</f>
        <v>1250000</v>
      </c>
    </row>
    <row r="5" spans="1:14" s="82" customFormat="1" ht="18" customHeight="1">
      <c r="A5" s="154" t="s">
        <v>32</v>
      </c>
      <c r="B5" s="251"/>
      <c r="C5" s="452"/>
      <c r="D5" s="460"/>
      <c r="E5" s="463"/>
      <c r="F5" s="455"/>
      <c r="G5" s="73">
        <v>10</v>
      </c>
      <c r="H5" s="76">
        <v>950000</v>
      </c>
      <c r="I5" s="77">
        <f>IF(E5&gt;0,#REF!,0)+IF(C6&gt;0,50000,0)+IF(C14&lt;0,50000,0)</f>
        <v>0</v>
      </c>
      <c r="J5" s="83" t="s">
        <v>87</v>
      </c>
      <c r="K5" s="84"/>
      <c r="L5" s="85"/>
      <c r="M5" s="86">
        <v>8</v>
      </c>
      <c r="N5" s="76">
        <f>N12*20%</f>
        <v>1000000</v>
      </c>
    </row>
    <row r="6" spans="1:14" s="82" customFormat="1" ht="18" customHeight="1">
      <c r="A6" s="154" t="s">
        <v>42</v>
      </c>
      <c r="B6" s="251"/>
      <c r="C6" s="452"/>
      <c r="D6" s="460"/>
      <c r="E6" s="463"/>
      <c r="F6" s="455"/>
      <c r="G6" s="73">
        <v>10</v>
      </c>
      <c r="H6" s="76">
        <v>950000</v>
      </c>
      <c r="I6" s="77">
        <f>IF(E6&gt;0,#REF!,0)+IF(C7&gt;0,50000,0)+IF(C15&lt;0,50000,0)</f>
        <v>0</v>
      </c>
      <c r="J6" s="83" t="s">
        <v>88</v>
      </c>
      <c r="K6" s="84"/>
      <c r="L6" s="85"/>
      <c r="M6" s="86">
        <v>6</v>
      </c>
      <c r="N6" s="76">
        <f>N12*15%</f>
        <v>750000</v>
      </c>
    </row>
    <row r="7" spans="1:18" s="82" customFormat="1" ht="18" customHeight="1">
      <c r="A7" s="154" t="s">
        <v>46</v>
      </c>
      <c r="B7" s="251"/>
      <c r="C7" s="453"/>
      <c r="D7" s="461"/>
      <c r="E7" s="464"/>
      <c r="F7" s="456"/>
      <c r="G7" s="73">
        <v>10</v>
      </c>
      <c r="H7" s="76">
        <v>950000</v>
      </c>
      <c r="I7" s="77">
        <f>IF(E7&gt;0,#REF!,0)+IF(C8&gt;0,50000,0)+IF(C16&lt;0,50000,0)</f>
        <v>50000</v>
      </c>
      <c r="J7" s="83" t="s">
        <v>89</v>
      </c>
      <c r="K7" s="84"/>
      <c r="L7" s="85"/>
      <c r="M7" s="86">
        <v>5</v>
      </c>
      <c r="N7" s="76">
        <f>N12*12%</f>
        <v>600000</v>
      </c>
      <c r="O7" s="87"/>
      <c r="P7" s="87"/>
      <c r="Q7" s="87"/>
      <c r="R7" s="88"/>
    </row>
    <row r="8" spans="1:14" s="82" customFormat="1" ht="18" customHeight="1">
      <c r="A8" s="154" t="s">
        <v>14</v>
      </c>
      <c r="B8" s="251"/>
      <c r="C8" s="451">
        <v>98</v>
      </c>
      <c r="D8" s="410"/>
      <c r="E8" s="348"/>
      <c r="F8" s="457">
        <v>2</v>
      </c>
      <c r="G8" s="73">
        <v>5</v>
      </c>
      <c r="H8" s="76">
        <v>400000</v>
      </c>
      <c r="I8" s="77">
        <f>IF(E8&gt;0,#REF!,0)+IF(C9&gt;0,50000,0)+IF(C17&lt;0,50000,0)</f>
        <v>0</v>
      </c>
      <c r="J8" s="83" t="s">
        <v>90</v>
      </c>
      <c r="K8" s="84"/>
      <c r="L8" s="85"/>
      <c r="M8" s="86">
        <v>4</v>
      </c>
      <c r="N8" s="76">
        <f>N12*10%</f>
        <v>500000</v>
      </c>
    </row>
    <row r="9" spans="1:14" s="82" customFormat="1" ht="18" customHeight="1">
      <c r="A9" s="154" t="s">
        <v>34</v>
      </c>
      <c r="B9" s="251"/>
      <c r="C9" s="452"/>
      <c r="D9" s="409"/>
      <c r="E9" s="348"/>
      <c r="F9" s="455"/>
      <c r="G9" s="73">
        <v>5</v>
      </c>
      <c r="H9" s="76">
        <v>400000</v>
      </c>
      <c r="I9" s="77">
        <f>IF(E9&gt;0,#REF!,0)+IF(C10&gt;0,50000,0)+IF(C18&lt;0,50000,0)</f>
        <v>0</v>
      </c>
      <c r="J9" s="83" t="s">
        <v>91</v>
      </c>
      <c r="K9" s="84"/>
      <c r="L9" s="85"/>
      <c r="M9" s="86">
        <v>3</v>
      </c>
      <c r="N9" s="76">
        <f>N12*8%</f>
        <v>400000</v>
      </c>
    </row>
    <row r="10" spans="1:14" s="82" customFormat="1" ht="18" customHeight="1">
      <c r="A10" s="154" t="s">
        <v>36</v>
      </c>
      <c r="B10" s="251"/>
      <c r="C10" s="452"/>
      <c r="D10" s="409"/>
      <c r="E10" s="348"/>
      <c r="F10" s="455"/>
      <c r="G10" s="73">
        <v>5</v>
      </c>
      <c r="H10" s="76">
        <v>400000</v>
      </c>
      <c r="I10" s="77">
        <f>IF(E10&gt;0,#REF!,0)+IF(C11&gt;0,50000,0)+IF(C19&lt;0,50000,0)</f>
        <v>0</v>
      </c>
      <c r="J10" s="83" t="s">
        <v>92</v>
      </c>
      <c r="K10" s="84"/>
      <c r="L10" s="85"/>
      <c r="M10" s="86">
        <v>2</v>
      </c>
      <c r="N10" s="76">
        <f>N12*6%</f>
        <v>300000</v>
      </c>
    </row>
    <row r="11" spans="1:14" s="82" customFormat="1" ht="18" customHeight="1">
      <c r="A11" s="154" t="s">
        <v>289</v>
      </c>
      <c r="B11" s="251"/>
      <c r="C11" s="453"/>
      <c r="D11" s="410"/>
      <c r="E11" s="348"/>
      <c r="F11" s="458"/>
      <c r="G11" s="411"/>
      <c r="H11" s="411"/>
      <c r="I11" s="77">
        <f>IF(E11&gt;0,#REF!,0)+IF(C12&gt;0,50000,0)+IF(C20&lt;0,50000,0)</f>
        <v>50000</v>
      </c>
      <c r="J11" s="83" t="s">
        <v>93</v>
      </c>
      <c r="K11" s="84"/>
      <c r="L11" s="85"/>
      <c r="M11" s="86">
        <v>1</v>
      </c>
      <c r="N11" s="76">
        <f>N12*4%</f>
        <v>200000</v>
      </c>
    </row>
    <row r="12" spans="1:14" s="82" customFormat="1" ht="18" customHeight="1">
      <c r="A12" s="154" t="s">
        <v>28</v>
      </c>
      <c r="B12" s="251"/>
      <c r="C12" s="451">
        <v>94</v>
      </c>
      <c r="D12" s="409"/>
      <c r="E12" s="348"/>
      <c r="F12" s="454">
        <v>3</v>
      </c>
      <c r="G12" s="73"/>
      <c r="H12" s="76">
        <f>I12</f>
        <v>50000</v>
      </c>
      <c r="I12" s="77">
        <f>IF(E12&gt;0,#REF!,0)+IF(C12&gt;0,50000,0)+IF(C12&lt;0,50000,0)</f>
        <v>50000</v>
      </c>
      <c r="J12" s="91" t="s">
        <v>94</v>
      </c>
      <c r="K12" s="84"/>
      <c r="L12" s="85"/>
      <c r="M12" s="86"/>
      <c r="N12" s="92">
        <v>5000000</v>
      </c>
    </row>
    <row r="13" spans="1:14" s="82" customFormat="1" ht="18" customHeight="1">
      <c r="A13" s="154" t="s">
        <v>22</v>
      </c>
      <c r="B13" s="251"/>
      <c r="C13" s="452"/>
      <c r="D13" s="409"/>
      <c r="E13" s="348"/>
      <c r="F13" s="455"/>
      <c r="G13" s="73"/>
      <c r="H13" s="76">
        <v>50000</v>
      </c>
      <c r="I13" s="77">
        <f>IF(E13&gt;0,#REF!,0)+IF(C13&gt;0,50000,0)+IF(C13&lt;0,50000,0)</f>
        <v>0</v>
      </c>
      <c r="J13" s="113" t="s">
        <v>95</v>
      </c>
      <c r="K13" s="11"/>
      <c r="L13" s="11"/>
      <c r="M13" s="12">
        <v>1</v>
      </c>
      <c r="N13" s="76">
        <f>N10</f>
        <v>300000</v>
      </c>
    </row>
    <row r="14" spans="1:9" s="82" customFormat="1" ht="18" customHeight="1">
      <c r="A14" s="154" t="s">
        <v>44</v>
      </c>
      <c r="B14" s="251"/>
      <c r="C14" s="452"/>
      <c r="D14" s="410"/>
      <c r="E14" s="348"/>
      <c r="F14" s="455"/>
      <c r="G14" s="73"/>
      <c r="H14" s="76">
        <v>50000</v>
      </c>
      <c r="I14" s="77">
        <f>IF(E14&gt;0,#REF!,0)+IF(C14&gt;0,50000,0)+IF(C14&lt;0,50000,0)</f>
        <v>0</v>
      </c>
    </row>
    <row r="15" spans="1:9" s="82" customFormat="1" ht="18" customHeight="1">
      <c r="A15" s="154" t="s">
        <v>16</v>
      </c>
      <c r="B15" s="251"/>
      <c r="C15" s="453"/>
      <c r="D15" s="409"/>
      <c r="E15" s="348"/>
      <c r="F15" s="456"/>
      <c r="G15" s="73"/>
      <c r="H15" s="76">
        <v>50000</v>
      </c>
      <c r="I15" s="77">
        <f>IF(E15&gt;0,#REF!,0)+IF(C15&gt;0,50000,0)+IF(C15&lt;0,50000,0)</f>
        <v>0</v>
      </c>
    </row>
    <row r="16" spans="1:9" s="82" customFormat="1" ht="18" customHeight="1">
      <c r="A16" s="154" t="s">
        <v>290</v>
      </c>
      <c r="B16" s="251"/>
      <c r="C16" s="451">
        <v>92</v>
      </c>
      <c r="D16" s="409"/>
      <c r="E16" s="348"/>
      <c r="F16" s="457">
        <v>4</v>
      </c>
      <c r="G16" s="350"/>
      <c r="H16" s="411"/>
      <c r="I16" s="77">
        <f>IF(E16&gt;0,#REF!,0)+IF(C16&gt;0,50000,0)+IF(C16&lt;0,50000,0)</f>
        <v>50000</v>
      </c>
    </row>
    <row r="17" spans="1:13" s="82" customFormat="1" ht="18" customHeight="1">
      <c r="A17" s="154" t="s">
        <v>10</v>
      </c>
      <c r="B17" s="251"/>
      <c r="C17" s="452"/>
      <c r="D17" s="409"/>
      <c r="E17" s="348"/>
      <c r="F17" s="455"/>
      <c r="G17" s="12"/>
      <c r="H17" s="76">
        <v>50000</v>
      </c>
      <c r="I17" s="77">
        <f>IF(E17&gt;0,#REF!,0)+IF(C17&gt;0,50000,0)+IF(C17&lt;0,50000,0)</f>
        <v>0</v>
      </c>
      <c r="J17" s="87"/>
      <c r="K17" s="87"/>
      <c r="L17" s="87"/>
      <c r="M17" s="88"/>
    </row>
    <row r="18" spans="1:14" s="82" customFormat="1" ht="18" customHeight="1">
      <c r="A18" s="154" t="s">
        <v>12</v>
      </c>
      <c r="B18" s="251"/>
      <c r="C18" s="452"/>
      <c r="D18" s="410"/>
      <c r="E18" s="348"/>
      <c r="F18" s="455"/>
      <c r="G18" s="73"/>
      <c r="H18" s="76">
        <v>50000</v>
      </c>
      <c r="I18" s="77">
        <f>IF(E18&gt;0,#REF!,0)+IF(C18&gt;0,50000,0)+IF(C18&lt;0,50000,0)</f>
        <v>0</v>
      </c>
      <c r="J18" s="12" t="s">
        <v>101</v>
      </c>
      <c r="K18" s="12" t="s">
        <v>83</v>
      </c>
      <c r="L18" s="12"/>
      <c r="M18" s="12" t="s">
        <v>102</v>
      </c>
      <c r="N18" s="12"/>
    </row>
    <row r="19" spans="1:14" s="82" customFormat="1" ht="18" customHeight="1">
      <c r="A19" s="154" t="s">
        <v>291</v>
      </c>
      <c r="B19" s="251"/>
      <c r="C19" s="453"/>
      <c r="D19" s="409"/>
      <c r="E19" s="348"/>
      <c r="F19" s="458"/>
      <c r="G19" s="411"/>
      <c r="H19" s="411"/>
      <c r="I19" s="77">
        <f>IF(E19&gt;0,#REF!,0)+IF(C19&gt;0,50000,0)+IF(C19&lt;0,50000,0)</f>
        <v>0</v>
      </c>
      <c r="J19" s="12">
        <v>1</v>
      </c>
      <c r="K19" s="12" t="s">
        <v>103</v>
      </c>
      <c r="L19" s="12">
        <v>10</v>
      </c>
      <c r="M19" s="76" t="s">
        <v>103</v>
      </c>
      <c r="N19" s="76">
        <f>N12*0.2</f>
        <v>1000000</v>
      </c>
    </row>
    <row r="20" spans="1:14" s="57" customFormat="1" ht="18" customHeight="1">
      <c r="A20" s="154"/>
      <c r="B20" s="251"/>
      <c r="C20" s="308"/>
      <c r="D20" s="321"/>
      <c r="E20" s="75"/>
      <c r="F20" s="73"/>
      <c r="G20" s="12"/>
      <c r="H20" s="76"/>
      <c r="I20" s="77">
        <f>IF(E20&gt;0,#REF!,0)+IF(C20&gt;0,50000,0)+IF(C20&lt;0,50000,0)</f>
        <v>0</v>
      </c>
      <c r="J20" s="12">
        <v>2</v>
      </c>
      <c r="K20" s="12" t="s">
        <v>103</v>
      </c>
      <c r="L20" s="12">
        <v>6</v>
      </c>
      <c r="M20" s="76" t="s">
        <v>103</v>
      </c>
      <c r="N20" s="76">
        <f>N12*0.15</f>
        <v>750000</v>
      </c>
    </row>
    <row r="21" spans="1:14" s="57" customFormat="1" ht="18" customHeight="1">
      <c r="A21" s="154"/>
      <c r="B21" s="251"/>
      <c r="C21" s="308"/>
      <c r="D21" s="321"/>
      <c r="E21" s="75"/>
      <c r="F21" s="12"/>
      <c r="G21" s="12"/>
      <c r="H21" s="76"/>
      <c r="I21" s="77">
        <f>IF(E21&gt;0,#REF!,0)+IF(C21&gt;0,50000,0)+IF(C21&lt;0,50000,0)</f>
        <v>0</v>
      </c>
      <c r="J21" s="12">
        <v>3</v>
      </c>
      <c r="K21" s="12" t="s">
        <v>103</v>
      </c>
      <c r="L21" s="12">
        <v>4</v>
      </c>
      <c r="M21" s="76" t="s">
        <v>103</v>
      </c>
      <c r="N21" s="76">
        <f>N12*0.1</f>
        <v>500000</v>
      </c>
    </row>
    <row r="22" spans="1:14" s="57" customFormat="1" ht="18" customHeight="1">
      <c r="A22" s="154"/>
      <c r="B22" s="251"/>
      <c r="C22" s="308"/>
      <c r="D22" s="321"/>
      <c r="E22" s="75"/>
      <c r="F22" s="12"/>
      <c r="G22" s="12"/>
      <c r="H22" s="76"/>
      <c r="I22" s="77">
        <f>IF(E22&gt;0,#REF!,0)+IF(C22&gt;0,50000,0)+IF(C22&lt;0,50000,0)</f>
        <v>0</v>
      </c>
      <c r="J22" s="12">
        <v>4</v>
      </c>
      <c r="K22" s="12" t="s">
        <v>103</v>
      </c>
      <c r="L22" s="12">
        <v>2</v>
      </c>
      <c r="M22" s="76" t="s">
        <v>103</v>
      </c>
      <c r="N22" s="76">
        <f>N12*0.05</f>
        <v>250000</v>
      </c>
    </row>
    <row r="23" spans="1:14" s="57" customFormat="1" ht="18" customHeight="1">
      <c r="A23" s="154"/>
      <c r="B23" s="251"/>
      <c r="C23" s="308"/>
      <c r="D23" s="321"/>
      <c r="E23" s="75"/>
      <c r="F23" s="73"/>
      <c r="G23" s="12"/>
      <c r="H23" s="76"/>
      <c r="I23" s="77">
        <f>IF(E23&gt;0,#REF!,0)+IF(C23&gt;0,50000,0)+IF(C23&lt;0,50000,0)</f>
        <v>0</v>
      </c>
      <c r="L23" s="114"/>
      <c r="M23" s="115"/>
      <c r="N23" s="115"/>
    </row>
    <row r="24" spans="1:14" s="57" customFormat="1" ht="18" customHeight="1">
      <c r="A24" s="154"/>
      <c r="B24" s="251"/>
      <c r="C24" s="310"/>
      <c r="D24" s="321"/>
      <c r="E24" s="75"/>
      <c r="F24" s="12"/>
      <c r="G24" s="12"/>
      <c r="H24" s="76"/>
      <c r="I24" s="77">
        <f>IF(E24&gt;0,#REF!,0)+IF(C24&gt;0,50000,0)+IF(C24&lt;0,50000,0)</f>
        <v>0</v>
      </c>
      <c r="L24" s="114"/>
      <c r="M24" s="115"/>
      <c r="N24" s="115"/>
    </row>
    <row r="25" spans="1:14" s="57" customFormat="1" ht="18" customHeight="1">
      <c r="A25" s="154"/>
      <c r="B25" s="251"/>
      <c r="C25" s="163"/>
      <c r="D25" s="321"/>
      <c r="E25" s="75"/>
      <c r="F25" s="12"/>
      <c r="G25" s="12"/>
      <c r="H25" s="76"/>
      <c r="I25" s="77">
        <f>IF(E25&gt;0,#REF!,0)+IF(C25&gt;0,50000,0)+IF(C25&lt;0,50000,0)</f>
        <v>0</v>
      </c>
      <c r="J25" s="12" t="s">
        <v>104</v>
      </c>
      <c r="K25" s="12" t="s">
        <v>83</v>
      </c>
      <c r="L25" s="12"/>
      <c r="M25" s="76" t="s">
        <v>102</v>
      </c>
      <c r="N25" s="76"/>
    </row>
    <row r="26" spans="1:14" s="57" customFormat="1" ht="18" customHeight="1">
      <c r="A26" s="154"/>
      <c r="B26" s="251"/>
      <c r="C26" s="308"/>
      <c r="D26" s="322"/>
      <c r="E26" s="75"/>
      <c r="F26" s="73"/>
      <c r="G26" s="73"/>
      <c r="H26" s="76"/>
      <c r="I26" s="77">
        <f>IF(E26&gt;0,#REF!,0)+IF(C26&gt;0,50000,0)+IF(C26&lt;0,50000,0)</f>
        <v>0</v>
      </c>
      <c r="J26" s="12">
        <v>1</v>
      </c>
      <c r="K26" s="12" t="s">
        <v>105</v>
      </c>
      <c r="L26" s="12">
        <v>10</v>
      </c>
      <c r="M26" s="76" t="s">
        <v>105</v>
      </c>
      <c r="N26" s="76">
        <f>(N4+N5+N6+N7)/4</f>
        <v>900000</v>
      </c>
    </row>
    <row r="27" spans="1:14" s="57" customFormat="1" ht="18" customHeight="1">
      <c r="A27" s="154"/>
      <c r="B27" s="251"/>
      <c r="C27" s="309"/>
      <c r="D27" s="321"/>
      <c r="E27" s="75"/>
      <c r="F27" s="73"/>
      <c r="G27" s="73"/>
      <c r="H27" s="76"/>
      <c r="I27" s="77">
        <f>IF(E27&gt;0,#REF!,0)+IF(C27&gt;0,50000,0)+IF(C27&lt;0,50000,0)</f>
        <v>0</v>
      </c>
      <c r="J27" s="12">
        <v>2</v>
      </c>
      <c r="K27" s="12" t="s">
        <v>105</v>
      </c>
      <c r="L27" s="12">
        <v>5</v>
      </c>
      <c r="M27" s="76" t="s">
        <v>105</v>
      </c>
      <c r="N27" s="76">
        <f>AVERAGE(N8:N11)</f>
        <v>350000</v>
      </c>
    </row>
    <row r="28" spans="1:9" ht="24" customHeight="1">
      <c r="A28" s="1"/>
      <c r="B28" s="3"/>
      <c r="C28" s="107"/>
      <c r="D28" s="108">
        <f>SUM(D4:D27)</f>
        <v>0</v>
      </c>
      <c r="E28" s="107"/>
      <c r="F28" s="3"/>
      <c r="G28" s="109">
        <f>SUM(G4:G27)</f>
        <v>55</v>
      </c>
      <c r="H28" s="109">
        <f>SUM(H4:H27)</f>
        <v>5300000</v>
      </c>
      <c r="I28" s="110"/>
    </row>
  </sheetData>
  <sheetProtection selectLockedCells="1" selectUnlockedCells="1"/>
  <mergeCells count="12">
    <mergeCell ref="C4:C7"/>
    <mergeCell ref="C8:C11"/>
    <mergeCell ref="C12:C15"/>
    <mergeCell ref="C16:C19"/>
    <mergeCell ref="B1:N1"/>
    <mergeCell ref="B2:N2"/>
    <mergeCell ref="F4:F7"/>
    <mergeCell ref="F8:F11"/>
    <mergeCell ref="F12:F15"/>
    <mergeCell ref="F16:F19"/>
    <mergeCell ref="D4:D7"/>
    <mergeCell ref="E4:E7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282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285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24</v>
      </c>
      <c r="B4" s="251">
        <v>13.4</v>
      </c>
      <c r="C4" s="73">
        <v>36</v>
      </c>
      <c r="D4" s="93">
        <v>31</v>
      </c>
      <c r="E4" s="75">
        <v>1.09</v>
      </c>
      <c r="F4" s="73">
        <v>1</v>
      </c>
      <c r="G4" s="73">
        <v>10</v>
      </c>
      <c r="H4" s="76">
        <f aca="true" t="shared" si="0" ref="H4:H11">N4+I4</f>
        <v>1910000</v>
      </c>
      <c r="I4" s="77">
        <f aca="true" t="shared" si="1" ref="I4:I11">IF(E4&gt;0,$N$13,0)+IF(C4&gt;0,50000,0)+IF(C12&lt;0,50000,0)</f>
        <v>410000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10</v>
      </c>
      <c r="B5" s="251">
        <v>13.1</v>
      </c>
      <c r="C5" s="73">
        <v>34</v>
      </c>
      <c r="D5" s="74">
        <v>29</v>
      </c>
      <c r="E5" s="75"/>
      <c r="F5" s="73">
        <v>2</v>
      </c>
      <c r="G5" s="73">
        <v>8</v>
      </c>
      <c r="H5" s="76">
        <f t="shared" si="0"/>
        <v>1250000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44</v>
      </c>
      <c r="B6" s="251">
        <v>15.4</v>
      </c>
      <c r="C6" s="74">
        <v>32</v>
      </c>
      <c r="D6" s="74">
        <v>35</v>
      </c>
      <c r="E6" s="75"/>
      <c r="F6" s="12">
        <v>3</v>
      </c>
      <c r="G6" s="12">
        <v>6</v>
      </c>
      <c r="H6" s="76">
        <f t="shared" si="0"/>
        <v>950000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14</v>
      </c>
      <c r="B7" s="251">
        <v>11.7</v>
      </c>
      <c r="C7" s="74">
        <v>31</v>
      </c>
      <c r="D7" s="74">
        <v>29</v>
      </c>
      <c r="E7" s="89"/>
      <c r="F7" s="73">
        <v>4</v>
      </c>
      <c r="G7" s="73">
        <v>5</v>
      </c>
      <c r="H7" s="76">
        <f t="shared" si="0"/>
        <v>770000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18</v>
      </c>
      <c r="B8" s="251">
        <v>14</v>
      </c>
      <c r="C8" s="74">
        <v>31</v>
      </c>
      <c r="D8" s="74">
        <v>34</v>
      </c>
      <c r="E8" s="75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34</v>
      </c>
      <c r="B9" s="251">
        <v>15.6</v>
      </c>
      <c r="C9" s="74">
        <v>31</v>
      </c>
      <c r="D9" s="93">
        <v>34</v>
      </c>
      <c r="E9" s="75"/>
      <c r="F9" s="90">
        <v>6</v>
      </c>
      <c r="G9" s="90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42</v>
      </c>
      <c r="B10" s="251">
        <v>18.6</v>
      </c>
      <c r="C10" s="74">
        <v>31</v>
      </c>
      <c r="D10" s="93">
        <v>37</v>
      </c>
      <c r="E10" s="75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30</v>
      </c>
      <c r="B11" s="251">
        <v>9.7</v>
      </c>
      <c r="C11" s="73">
        <v>30</v>
      </c>
      <c r="D11" s="74">
        <v>33</v>
      </c>
      <c r="E11" s="89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32</v>
      </c>
      <c r="B12" s="251">
        <v>14.2</v>
      </c>
      <c r="C12" s="73">
        <v>30</v>
      </c>
      <c r="D12" s="93">
        <v>34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22</v>
      </c>
      <c r="B13" s="251">
        <v>14.4</v>
      </c>
      <c r="C13" s="73">
        <v>30</v>
      </c>
      <c r="D13" s="74">
        <v>32</v>
      </c>
      <c r="E13" s="75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46</v>
      </c>
      <c r="B14" s="251">
        <v>20.7</v>
      </c>
      <c r="C14" s="73">
        <v>30</v>
      </c>
      <c r="D14" s="74">
        <v>34</v>
      </c>
      <c r="E14" s="75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48</v>
      </c>
      <c r="B15" s="251">
        <v>6.8</v>
      </c>
      <c r="C15" s="73">
        <v>28</v>
      </c>
      <c r="D15" s="74">
        <v>30</v>
      </c>
      <c r="E15" s="75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28</v>
      </c>
      <c r="B16" s="251">
        <v>11.2</v>
      </c>
      <c r="C16" s="73">
        <v>28</v>
      </c>
      <c r="D16" s="93">
        <v>36</v>
      </c>
      <c r="E16" s="89"/>
      <c r="F16" s="12"/>
      <c r="G16" s="12"/>
      <c r="H16" s="76">
        <f t="shared" si="2"/>
        <v>50000</v>
      </c>
      <c r="I16" s="77">
        <f t="shared" si="3"/>
        <v>50000</v>
      </c>
    </row>
    <row r="17" spans="1:13" s="82" customFormat="1" ht="18" customHeight="1">
      <c r="A17" s="154" t="s">
        <v>36</v>
      </c>
      <c r="B17" s="251">
        <v>18.6</v>
      </c>
      <c r="C17" s="73">
        <v>28</v>
      </c>
      <c r="D17" s="93">
        <v>38</v>
      </c>
      <c r="E17" s="89"/>
      <c r="F17" s="12"/>
      <c r="G17" s="12"/>
      <c r="H17" s="76">
        <f t="shared" si="2"/>
        <v>50000</v>
      </c>
      <c r="I17" s="77">
        <f t="shared" si="3"/>
        <v>50000</v>
      </c>
      <c r="J17" s="87"/>
      <c r="K17" s="87"/>
      <c r="L17" s="87"/>
      <c r="M17" s="88"/>
    </row>
    <row r="18" spans="1:13" s="82" customFormat="1" ht="18" customHeight="1">
      <c r="A18" s="154" t="s">
        <v>16</v>
      </c>
      <c r="B18" s="251">
        <v>19.7</v>
      </c>
      <c r="C18" s="93">
        <v>27</v>
      </c>
      <c r="D18" s="74">
        <v>42</v>
      </c>
      <c r="E18" s="75"/>
      <c r="F18" s="73"/>
      <c r="G18" s="73"/>
      <c r="H18" s="76">
        <f t="shared" si="2"/>
        <v>50000</v>
      </c>
      <c r="I18" s="77">
        <f t="shared" si="3"/>
        <v>50000</v>
      </c>
      <c r="J18" s="88"/>
      <c r="K18" s="88"/>
      <c r="L18" s="88"/>
      <c r="M18" s="88"/>
    </row>
    <row r="19" spans="1:13" s="82" customFormat="1" ht="18" customHeight="1">
      <c r="A19" s="154" t="s">
        <v>8</v>
      </c>
      <c r="B19" s="251">
        <v>20.5</v>
      </c>
      <c r="C19" s="73">
        <v>27</v>
      </c>
      <c r="D19" s="74">
        <v>33</v>
      </c>
      <c r="E19" s="75"/>
      <c r="F19" s="73"/>
      <c r="G19" s="73"/>
      <c r="H19" s="76">
        <f t="shared" si="2"/>
        <v>50000</v>
      </c>
      <c r="I19" s="77">
        <f t="shared" si="3"/>
        <v>50000</v>
      </c>
      <c r="J19" s="88"/>
      <c r="K19" s="88"/>
      <c r="L19" s="88"/>
      <c r="M19" s="88"/>
    </row>
    <row r="20" spans="1:9" s="57" customFormat="1" ht="18" customHeight="1">
      <c r="A20" s="154" t="s">
        <v>38</v>
      </c>
      <c r="B20" s="251">
        <v>12.8</v>
      </c>
      <c r="C20" s="74">
        <v>23</v>
      </c>
      <c r="D20" s="74">
        <v>34</v>
      </c>
      <c r="E20" s="89"/>
      <c r="F20" s="12"/>
      <c r="G20" s="12"/>
      <c r="H20" s="76">
        <f t="shared" si="2"/>
        <v>50000</v>
      </c>
      <c r="I20" s="77">
        <f t="shared" si="3"/>
        <v>50000</v>
      </c>
    </row>
    <row r="21" spans="1:9" s="57" customFormat="1" ht="18" customHeight="1">
      <c r="A21" s="154" t="s">
        <v>40</v>
      </c>
      <c r="B21" s="251">
        <v>21.7</v>
      </c>
      <c r="C21" s="12">
        <v>21</v>
      </c>
      <c r="D21" s="74">
        <v>36</v>
      </c>
      <c r="E21" s="75"/>
      <c r="F21" s="12"/>
      <c r="G21" s="12"/>
      <c r="H21" s="76">
        <f t="shared" si="2"/>
        <v>50000</v>
      </c>
      <c r="I21" s="77">
        <f t="shared" si="3"/>
        <v>50000</v>
      </c>
    </row>
    <row r="22" spans="1:9" s="57" customFormat="1" ht="18" customHeight="1">
      <c r="A22" s="154" t="s">
        <v>52</v>
      </c>
      <c r="B22" s="251">
        <v>12.1</v>
      </c>
      <c r="C22" s="73" t="s">
        <v>251</v>
      </c>
      <c r="D22" s="74"/>
      <c r="E22" s="75"/>
      <c r="F22" s="12"/>
      <c r="G22" s="12"/>
      <c r="H22" s="76">
        <f t="shared" si="2"/>
        <v>50000</v>
      </c>
      <c r="I22" s="77">
        <f t="shared" si="3"/>
        <v>50000</v>
      </c>
    </row>
    <row r="23" spans="1:9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</row>
    <row r="24" spans="1:9" s="57" customFormat="1" ht="18" customHeight="1">
      <c r="A24" s="154"/>
      <c r="B24" s="251"/>
      <c r="C24" s="73"/>
      <c r="D24" s="74"/>
      <c r="E24" s="75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3"/>
      <c r="D25" s="93"/>
      <c r="E25" s="89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54"/>
      <c r="B26" s="251"/>
      <c r="C26" s="73"/>
      <c r="D26" s="93"/>
      <c r="E26" s="89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54"/>
      <c r="B27" s="251"/>
      <c r="C27" s="73"/>
      <c r="D27" s="74"/>
      <c r="E27" s="89"/>
      <c r="F27" s="73"/>
      <c r="G27" s="73"/>
      <c r="H27" s="76">
        <f t="shared" si="2"/>
        <v>0</v>
      </c>
      <c r="I27" s="77">
        <f t="shared" si="3"/>
        <v>0</v>
      </c>
    </row>
    <row r="28" spans="1:9" ht="24" customHeight="1">
      <c r="A28" s="1"/>
      <c r="B28" s="3"/>
      <c r="C28" s="107"/>
      <c r="D28" s="108">
        <f>SUM(D4:D27)</f>
        <v>611</v>
      </c>
      <c r="E28" s="107"/>
      <c r="F28" s="3"/>
      <c r="G28" s="109">
        <f>SUM(G4:G27)</f>
        <v>39</v>
      </c>
      <c r="H28" s="109">
        <f>SUM(H4:H27)</f>
        <v>7310000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160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191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30</v>
      </c>
      <c r="B4" s="251">
        <v>10.2</v>
      </c>
      <c r="C4" s="73">
        <v>39</v>
      </c>
      <c r="D4" s="74">
        <v>31</v>
      </c>
      <c r="E4" s="89"/>
      <c r="F4" s="73">
        <v>1</v>
      </c>
      <c r="G4" s="73">
        <v>10</v>
      </c>
      <c r="H4" s="76">
        <f aca="true" t="shared" si="0" ref="H4:H11">N4+I4</f>
        <v>1550000</v>
      </c>
      <c r="I4" s="77">
        <f aca="true" t="shared" si="1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8</v>
      </c>
      <c r="B5" s="251">
        <v>20.9</v>
      </c>
      <c r="C5" s="12">
        <v>37</v>
      </c>
      <c r="D5" s="74">
        <v>35</v>
      </c>
      <c r="E5" s="75"/>
      <c r="F5" s="73">
        <v>2</v>
      </c>
      <c r="G5" s="73">
        <v>8</v>
      </c>
      <c r="H5" s="76">
        <f t="shared" si="0"/>
        <v>1250000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32</v>
      </c>
      <c r="B6" s="251">
        <v>14.2</v>
      </c>
      <c r="C6" s="73">
        <v>36</v>
      </c>
      <c r="D6" s="93">
        <v>31</v>
      </c>
      <c r="E6" s="89"/>
      <c r="F6" s="12">
        <v>3</v>
      </c>
      <c r="G6" s="12">
        <v>6</v>
      </c>
      <c r="H6" s="76">
        <f t="shared" si="0"/>
        <v>950000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38</v>
      </c>
      <c r="B7" s="251">
        <v>15.2</v>
      </c>
      <c r="C7" s="74">
        <v>34</v>
      </c>
      <c r="D7" s="74">
        <v>31</v>
      </c>
      <c r="E7" s="89">
        <v>3.05</v>
      </c>
      <c r="F7" s="73">
        <v>4</v>
      </c>
      <c r="G7" s="73">
        <v>5</v>
      </c>
      <c r="H7" s="76">
        <f t="shared" si="0"/>
        <v>1130000</v>
      </c>
      <c r="I7" s="77">
        <f t="shared" si="1"/>
        <v>410000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42</v>
      </c>
      <c r="B8" s="251">
        <v>18.5</v>
      </c>
      <c r="C8" s="73">
        <v>34</v>
      </c>
      <c r="D8" s="74">
        <v>28</v>
      </c>
      <c r="E8" s="75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28</v>
      </c>
      <c r="B9" s="251">
        <v>10.9</v>
      </c>
      <c r="C9" s="74">
        <v>32</v>
      </c>
      <c r="D9" s="74">
        <v>30</v>
      </c>
      <c r="E9" s="75"/>
      <c r="F9" s="90">
        <v>6</v>
      </c>
      <c r="G9" s="90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171</v>
      </c>
      <c r="B10" s="251">
        <v>11.8</v>
      </c>
      <c r="C10" s="73">
        <v>32</v>
      </c>
      <c r="D10" s="74">
        <v>33</v>
      </c>
      <c r="E10" s="89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34</v>
      </c>
      <c r="B11" s="251">
        <v>15.5</v>
      </c>
      <c r="C11" s="73">
        <v>28</v>
      </c>
      <c r="D11" s="93">
        <v>35</v>
      </c>
      <c r="E11" s="89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46</v>
      </c>
      <c r="B12" s="251">
        <v>20.6</v>
      </c>
      <c r="C12" s="93">
        <v>28</v>
      </c>
      <c r="D12" s="74">
        <v>37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10</v>
      </c>
      <c r="B13" s="251">
        <v>13</v>
      </c>
      <c r="C13" s="73">
        <v>27</v>
      </c>
      <c r="D13" s="93">
        <v>38</v>
      </c>
      <c r="E13" s="75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/>
      <c r="N13" s="98">
        <f>N10</f>
        <v>360000</v>
      </c>
    </row>
    <row r="14" spans="1:14" s="82" customFormat="1" ht="18" customHeight="1">
      <c r="A14" s="154" t="s">
        <v>18</v>
      </c>
      <c r="B14" s="251">
        <v>13.9</v>
      </c>
      <c r="C14" s="73">
        <v>26</v>
      </c>
      <c r="D14" s="93">
        <v>36</v>
      </c>
      <c r="E14" s="75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22</v>
      </c>
      <c r="B15" s="251">
        <v>14.3</v>
      </c>
      <c r="C15" s="73">
        <v>26</v>
      </c>
      <c r="D15" s="93">
        <v>38</v>
      </c>
      <c r="E15" s="75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44</v>
      </c>
      <c r="B16" s="251">
        <v>15.3</v>
      </c>
      <c r="C16" s="74">
        <v>25</v>
      </c>
      <c r="D16" s="74">
        <v>41</v>
      </c>
      <c r="E16" s="75"/>
      <c r="F16" s="12"/>
      <c r="G16" s="12"/>
      <c r="H16" s="76">
        <f t="shared" si="2"/>
        <v>50000</v>
      </c>
      <c r="I16" s="77">
        <f t="shared" si="3"/>
        <v>50000</v>
      </c>
    </row>
    <row r="17" spans="1:18" s="82" customFormat="1" ht="18" customHeight="1">
      <c r="A17" s="154" t="s">
        <v>36</v>
      </c>
      <c r="B17" s="251">
        <v>18.5</v>
      </c>
      <c r="C17" s="73">
        <v>25</v>
      </c>
      <c r="D17" s="74">
        <v>37</v>
      </c>
      <c r="E17" s="75"/>
      <c r="F17" s="12"/>
      <c r="G17" s="12"/>
      <c r="H17" s="76">
        <f t="shared" si="2"/>
        <v>50000</v>
      </c>
      <c r="I17" s="77">
        <f t="shared" si="3"/>
        <v>50000</v>
      </c>
      <c r="O17" s="87"/>
      <c r="P17" s="87"/>
      <c r="Q17" s="87"/>
      <c r="R17" s="88"/>
    </row>
    <row r="18" spans="1:14" s="82" customFormat="1" ht="18" customHeight="1">
      <c r="A18" s="154" t="s">
        <v>14</v>
      </c>
      <c r="B18" s="251">
        <v>11.6</v>
      </c>
      <c r="C18" s="74">
        <v>24</v>
      </c>
      <c r="D18" s="93">
        <v>39</v>
      </c>
      <c r="E18" s="75"/>
      <c r="F18" s="73"/>
      <c r="G18" s="73"/>
      <c r="H18" s="76">
        <f t="shared" si="2"/>
        <v>50000</v>
      </c>
      <c r="I18" s="77">
        <f t="shared" si="3"/>
        <v>50000</v>
      </c>
      <c r="J18" s="104"/>
      <c r="K18" s="104"/>
      <c r="L18" s="104"/>
      <c r="M18" s="104"/>
      <c r="N18" s="104"/>
    </row>
    <row r="19" spans="1:14" s="82" customFormat="1" ht="18" customHeight="1">
      <c r="A19" s="154" t="s">
        <v>50</v>
      </c>
      <c r="B19" s="251">
        <v>24.1</v>
      </c>
      <c r="C19" s="73">
        <v>21</v>
      </c>
      <c r="D19" s="74">
        <v>38</v>
      </c>
      <c r="E19" s="89"/>
      <c r="F19" s="73"/>
      <c r="G19" s="73"/>
      <c r="H19" s="76">
        <f t="shared" si="2"/>
        <v>50000</v>
      </c>
      <c r="I19" s="77">
        <f t="shared" si="3"/>
        <v>50000</v>
      </c>
      <c r="J19" s="104"/>
      <c r="K19" s="104"/>
      <c r="L19" s="104"/>
      <c r="M19" s="105"/>
      <c r="N19" s="105"/>
    </row>
    <row r="20" spans="1:14" s="57" customFormat="1" ht="18" customHeight="1">
      <c r="A20" s="154" t="s">
        <v>40</v>
      </c>
      <c r="B20" s="251">
        <v>21.6</v>
      </c>
      <c r="C20" s="73" t="s">
        <v>223</v>
      </c>
      <c r="D20" s="74"/>
      <c r="E20" s="75"/>
      <c r="F20" s="12"/>
      <c r="G20" s="12"/>
      <c r="H20" s="76">
        <f t="shared" si="2"/>
        <v>50000</v>
      </c>
      <c r="I20" s="77">
        <f t="shared" si="3"/>
        <v>50000</v>
      </c>
      <c r="J20" s="104"/>
      <c r="K20" s="104"/>
      <c r="L20" s="104"/>
      <c r="M20" s="105"/>
      <c r="N20" s="105"/>
    </row>
    <row r="21" spans="1:14" s="57" customFormat="1" ht="18" customHeight="1">
      <c r="A21" s="154"/>
      <c r="B21" s="251"/>
      <c r="C21" s="73"/>
      <c r="D21" s="74"/>
      <c r="E21" s="75"/>
      <c r="F21" s="12"/>
      <c r="G21" s="12"/>
      <c r="H21" s="76">
        <f t="shared" si="2"/>
        <v>0</v>
      </c>
      <c r="I21" s="77">
        <f t="shared" si="3"/>
        <v>0</v>
      </c>
      <c r="J21" s="104"/>
      <c r="K21" s="104"/>
      <c r="L21" s="104"/>
      <c r="M21" s="105"/>
      <c r="N21" s="105"/>
    </row>
    <row r="22" spans="1:14" s="57" customFormat="1" ht="18" customHeight="1">
      <c r="A22" s="154"/>
      <c r="B22" s="251"/>
      <c r="C22" s="73"/>
      <c r="D22" s="74"/>
      <c r="E22" s="89"/>
      <c r="F22" s="12"/>
      <c r="G22" s="12"/>
      <c r="H22" s="76">
        <f t="shared" si="2"/>
        <v>0</v>
      </c>
      <c r="I22" s="77">
        <f t="shared" si="3"/>
        <v>0</v>
      </c>
      <c r="J22" s="104"/>
      <c r="K22" s="104"/>
      <c r="L22" s="104"/>
      <c r="M22" s="105"/>
      <c r="N22" s="105"/>
    </row>
    <row r="23" spans="1:14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  <c r="J23" s="209"/>
      <c r="K23" s="209"/>
      <c r="L23" s="210"/>
      <c r="M23" s="211"/>
      <c r="N23" s="211"/>
    </row>
    <row r="24" spans="1:14" s="57" customFormat="1" ht="18" customHeight="1">
      <c r="A24" s="154"/>
      <c r="B24" s="251"/>
      <c r="C24" s="12"/>
      <c r="D24" s="74"/>
      <c r="E24" s="75"/>
      <c r="F24" s="12"/>
      <c r="G24" s="12"/>
      <c r="H24" s="76">
        <f t="shared" si="2"/>
        <v>0</v>
      </c>
      <c r="I24" s="77">
        <f t="shared" si="3"/>
        <v>0</v>
      </c>
      <c r="J24" s="209"/>
      <c r="K24" s="209"/>
      <c r="L24" s="210"/>
      <c r="M24" s="211"/>
      <c r="N24" s="211"/>
    </row>
    <row r="25" spans="1:14" s="57" customFormat="1" ht="18" customHeight="1">
      <c r="A25" s="154"/>
      <c r="B25" s="251"/>
      <c r="C25" s="73"/>
      <c r="D25" s="93"/>
      <c r="E25" s="75"/>
      <c r="F25" s="12"/>
      <c r="G25" s="12"/>
      <c r="H25" s="76">
        <f t="shared" si="2"/>
        <v>0</v>
      </c>
      <c r="I25" s="77">
        <f t="shared" si="3"/>
        <v>0</v>
      </c>
      <c r="J25" s="104"/>
      <c r="K25" s="104"/>
      <c r="L25" s="104"/>
      <c r="M25" s="105"/>
      <c r="N25" s="105"/>
    </row>
    <row r="26" spans="1:14" s="57" customFormat="1" ht="18" customHeight="1">
      <c r="A26" s="154"/>
      <c r="B26" s="251"/>
      <c r="C26" s="74"/>
      <c r="D26" s="93"/>
      <c r="E26" s="75"/>
      <c r="F26" s="73"/>
      <c r="G26" s="73"/>
      <c r="H26" s="76">
        <f t="shared" si="2"/>
        <v>0</v>
      </c>
      <c r="I26" s="77">
        <f t="shared" si="3"/>
        <v>0</v>
      </c>
      <c r="J26" s="104"/>
      <c r="K26" s="104"/>
      <c r="L26" s="104"/>
      <c r="M26" s="105"/>
      <c r="N26" s="105"/>
    </row>
    <row r="27" spans="1:14" s="57" customFormat="1" ht="18" customHeight="1">
      <c r="A27" s="154"/>
      <c r="B27" s="251"/>
      <c r="C27" s="74"/>
      <c r="D27" s="74"/>
      <c r="E27" s="89"/>
      <c r="F27" s="73"/>
      <c r="G27" s="73"/>
      <c r="H27" s="76">
        <f t="shared" si="2"/>
        <v>0</v>
      </c>
      <c r="I27" s="77">
        <f t="shared" si="3"/>
        <v>0</v>
      </c>
      <c r="J27" s="104"/>
      <c r="K27" s="104"/>
      <c r="L27" s="104"/>
      <c r="M27" s="105"/>
      <c r="N27" s="105"/>
    </row>
    <row r="28" spans="1:9" ht="24" customHeight="1">
      <c r="A28" s="1"/>
      <c r="B28" s="3"/>
      <c r="C28" s="107"/>
      <c r="D28" s="108">
        <f>SUM(D4:D27)</f>
        <v>558</v>
      </c>
      <c r="E28" s="107"/>
      <c r="F28" s="3"/>
      <c r="G28" s="109">
        <f>SUM(G4:G27)</f>
        <v>39</v>
      </c>
      <c r="H28" s="109">
        <f>SUM(H4:H27)</f>
        <v>7210000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tr">
        <f>'Tourplan m. sløjfer'!D30</f>
        <v>Olympic Golf Competition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278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83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14</v>
      </c>
      <c r="B4" s="251">
        <v>12.5</v>
      </c>
      <c r="C4" s="73">
        <v>39</v>
      </c>
      <c r="D4" s="93">
        <v>33</v>
      </c>
      <c r="E4" s="75"/>
      <c r="F4" s="73">
        <v>1</v>
      </c>
      <c r="G4" s="73">
        <v>10</v>
      </c>
      <c r="H4" s="76">
        <f aca="true" t="shared" si="0" ref="H4:H11">N4+I4</f>
        <v>1550000</v>
      </c>
      <c r="I4" s="77">
        <f aca="true" t="shared" si="1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10</v>
      </c>
      <c r="B5" s="251">
        <v>13.6</v>
      </c>
      <c r="C5" s="73">
        <v>38</v>
      </c>
      <c r="D5" s="93">
        <v>31</v>
      </c>
      <c r="E5" s="89"/>
      <c r="F5" s="73">
        <v>2</v>
      </c>
      <c r="G5" s="73">
        <v>8</v>
      </c>
      <c r="H5" s="76">
        <f t="shared" si="0"/>
        <v>1250000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46</v>
      </c>
      <c r="B6" s="251">
        <v>21</v>
      </c>
      <c r="C6" s="73">
        <v>37</v>
      </c>
      <c r="D6" s="93">
        <v>34</v>
      </c>
      <c r="E6" s="75"/>
      <c r="F6" s="12">
        <v>3</v>
      </c>
      <c r="G6" s="12">
        <v>6</v>
      </c>
      <c r="H6" s="76">
        <f t="shared" si="0"/>
        <v>950000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38</v>
      </c>
      <c r="B7" s="251">
        <v>15.5</v>
      </c>
      <c r="C7" s="73">
        <v>36</v>
      </c>
      <c r="D7" s="74">
        <v>34</v>
      </c>
      <c r="E7" s="89">
        <v>0.15</v>
      </c>
      <c r="F7" s="73">
        <v>4</v>
      </c>
      <c r="G7" s="73">
        <v>5</v>
      </c>
      <c r="H7" s="76">
        <f t="shared" si="0"/>
        <v>1130000</v>
      </c>
      <c r="I7" s="77">
        <f t="shared" si="1"/>
        <v>410000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52</v>
      </c>
      <c r="B8" s="251">
        <v>12.1</v>
      </c>
      <c r="C8" s="73">
        <v>35</v>
      </c>
      <c r="D8" s="74">
        <v>32</v>
      </c>
      <c r="E8" s="75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18</v>
      </c>
      <c r="B9" s="251">
        <v>13.9</v>
      </c>
      <c r="C9" s="74">
        <v>34</v>
      </c>
      <c r="D9" s="74">
        <v>34</v>
      </c>
      <c r="E9" s="89"/>
      <c r="F9" s="90">
        <v>6</v>
      </c>
      <c r="G9" s="90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34</v>
      </c>
      <c r="B10" s="251">
        <v>15.4</v>
      </c>
      <c r="C10" s="73">
        <v>34</v>
      </c>
      <c r="D10" s="74">
        <v>34</v>
      </c>
      <c r="E10" s="75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36</v>
      </c>
      <c r="B11" s="251">
        <v>18.4</v>
      </c>
      <c r="C11" s="74">
        <v>34</v>
      </c>
      <c r="D11" s="74">
        <v>31</v>
      </c>
      <c r="E11" s="89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28</v>
      </c>
      <c r="B12" s="251">
        <v>10.8</v>
      </c>
      <c r="C12" s="73">
        <v>33</v>
      </c>
      <c r="D12" s="74">
        <v>30</v>
      </c>
      <c r="E12" s="89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8</v>
      </c>
      <c r="B13" s="251">
        <v>20.9</v>
      </c>
      <c r="C13" s="12">
        <v>33</v>
      </c>
      <c r="D13" s="74">
        <v>33</v>
      </c>
      <c r="E13" s="75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44</v>
      </c>
      <c r="B14" s="251">
        <v>15.2</v>
      </c>
      <c r="C14" s="12">
        <v>32</v>
      </c>
      <c r="D14" s="93">
        <v>37</v>
      </c>
      <c r="E14" s="75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30</v>
      </c>
      <c r="B15" s="251">
        <v>10</v>
      </c>
      <c r="C15" s="74">
        <v>31</v>
      </c>
      <c r="D15" s="74">
        <v>34</v>
      </c>
      <c r="E15" s="75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42</v>
      </c>
      <c r="B16" s="251">
        <v>18.4</v>
      </c>
      <c r="C16" s="73">
        <v>31</v>
      </c>
      <c r="D16" s="74">
        <v>30</v>
      </c>
      <c r="E16" s="89"/>
      <c r="F16" s="12"/>
      <c r="G16" s="12"/>
      <c r="H16" s="76">
        <f t="shared" si="2"/>
        <v>50000</v>
      </c>
      <c r="I16" s="77">
        <f t="shared" si="3"/>
        <v>50000</v>
      </c>
    </row>
    <row r="17" spans="1:18" s="82" customFormat="1" ht="18" customHeight="1">
      <c r="A17" s="154" t="s">
        <v>12</v>
      </c>
      <c r="B17" s="251">
        <v>17.9</v>
      </c>
      <c r="C17" s="73">
        <v>30</v>
      </c>
      <c r="D17" s="74">
        <v>38</v>
      </c>
      <c r="E17" s="75"/>
      <c r="F17" s="12"/>
      <c r="G17" s="12"/>
      <c r="H17" s="76">
        <f t="shared" si="2"/>
        <v>50000</v>
      </c>
      <c r="I17" s="77">
        <f t="shared" si="3"/>
        <v>50000</v>
      </c>
      <c r="O17" s="87"/>
      <c r="P17" s="87"/>
      <c r="Q17" s="87"/>
      <c r="R17" s="88"/>
    </row>
    <row r="18" spans="1:13" s="82" customFormat="1" ht="18" customHeight="1">
      <c r="A18" s="154" t="s">
        <v>16</v>
      </c>
      <c r="B18" s="251">
        <v>19.5</v>
      </c>
      <c r="C18" s="74">
        <v>29</v>
      </c>
      <c r="D18" s="74">
        <v>35</v>
      </c>
      <c r="E18" s="75"/>
      <c r="F18" s="73"/>
      <c r="G18" s="73"/>
      <c r="H18" s="76">
        <f t="shared" si="2"/>
        <v>50000</v>
      </c>
      <c r="I18" s="77">
        <f t="shared" si="3"/>
        <v>50000</v>
      </c>
      <c r="J18" s="88"/>
      <c r="K18" s="88"/>
      <c r="L18" s="88"/>
      <c r="M18" s="88"/>
    </row>
    <row r="19" spans="1:13" s="82" customFormat="1" ht="18" customHeight="1">
      <c r="A19" s="154" t="s">
        <v>40</v>
      </c>
      <c r="B19" s="251">
        <v>21.5</v>
      </c>
      <c r="C19" s="73">
        <v>28</v>
      </c>
      <c r="D19" s="74">
        <v>36</v>
      </c>
      <c r="E19" s="75"/>
      <c r="F19" s="73"/>
      <c r="G19" s="73"/>
      <c r="H19" s="76">
        <f t="shared" si="2"/>
        <v>50000</v>
      </c>
      <c r="I19" s="77">
        <f t="shared" si="3"/>
        <v>50000</v>
      </c>
      <c r="J19" s="88"/>
      <c r="K19" s="88"/>
      <c r="L19" s="88"/>
      <c r="M19" s="88"/>
    </row>
    <row r="20" spans="1:9" s="57" customFormat="1" ht="18" customHeight="1">
      <c r="A20" s="154" t="s">
        <v>50</v>
      </c>
      <c r="B20" s="251">
        <v>24</v>
      </c>
      <c r="C20" s="74">
        <v>27</v>
      </c>
      <c r="D20" s="74">
        <v>45</v>
      </c>
      <c r="E20" s="89"/>
      <c r="F20" s="12"/>
      <c r="G20" s="12"/>
      <c r="H20" s="76">
        <f t="shared" si="2"/>
        <v>50000</v>
      </c>
      <c r="I20" s="77">
        <f t="shared" si="3"/>
        <v>50000</v>
      </c>
    </row>
    <row r="21" spans="1:9" s="57" customFormat="1" ht="18" customHeight="1">
      <c r="A21" s="154" t="s">
        <v>22</v>
      </c>
      <c r="B21" s="251">
        <v>14.2</v>
      </c>
      <c r="C21" s="73">
        <v>20</v>
      </c>
      <c r="D21" s="93">
        <v>41</v>
      </c>
      <c r="E21" s="75"/>
      <c r="F21" s="12"/>
      <c r="G21" s="12"/>
      <c r="H21" s="76">
        <f t="shared" si="2"/>
        <v>50000</v>
      </c>
      <c r="I21" s="77">
        <f t="shared" si="3"/>
        <v>50000</v>
      </c>
    </row>
    <row r="22" spans="1:9" s="57" customFormat="1" ht="18" customHeight="1">
      <c r="A22" s="154"/>
      <c r="B22" s="251"/>
      <c r="C22" s="93"/>
      <c r="D22" s="93"/>
      <c r="E22" s="75"/>
      <c r="F22" s="12"/>
      <c r="G22" s="12"/>
      <c r="H22" s="76">
        <f t="shared" si="2"/>
        <v>0</v>
      </c>
      <c r="I22" s="77">
        <f t="shared" si="3"/>
        <v>0</v>
      </c>
    </row>
    <row r="23" spans="1:9" s="57" customFormat="1" ht="18" customHeight="1">
      <c r="A23" s="154"/>
      <c r="B23" s="251"/>
      <c r="C23" s="73"/>
      <c r="D23" s="93"/>
      <c r="E23" s="89"/>
      <c r="F23" s="12"/>
      <c r="G23" s="12"/>
      <c r="H23" s="76">
        <f t="shared" si="2"/>
        <v>0</v>
      </c>
      <c r="I23" s="77">
        <f t="shared" si="3"/>
        <v>0</v>
      </c>
    </row>
    <row r="24" spans="1:9" s="57" customFormat="1" ht="18" customHeight="1">
      <c r="A24" s="154"/>
      <c r="B24" s="251"/>
      <c r="C24" s="73"/>
      <c r="D24" s="74"/>
      <c r="E24" s="75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4"/>
      <c r="D25" s="93"/>
      <c r="E25" s="75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54"/>
      <c r="B26" s="251"/>
      <c r="C26" s="73"/>
      <c r="D26" s="74"/>
      <c r="E26" s="75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54"/>
      <c r="B27" s="251"/>
      <c r="C27" s="73"/>
      <c r="D27" s="74"/>
      <c r="E27" s="75"/>
      <c r="F27" s="73"/>
      <c r="G27" s="73"/>
      <c r="H27" s="76">
        <f t="shared" si="2"/>
        <v>0</v>
      </c>
      <c r="I27" s="77">
        <f t="shared" si="3"/>
        <v>0</v>
      </c>
    </row>
    <row r="28" spans="1:9" ht="24" customHeight="1">
      <c r="A28" s="1"/>
      <c r="B28" s="3"/>
      <c r="C28" s="107"/>
      <c r="D28" s="108">
        <f>SUM(D4:D27)</f>
        <v>622</v>
      </c>
      <c r="E28" s="107"/>
      <c r="F28" s="3"/>
      <c r="G28" s="109">
        <f>SUM(G4:G27)</f>
        <v>39</v>
      </c>
      <c r="H28" s="109">
        <f>SUM(H4:H27)</f>
        <v>7260000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tr">
        <f>'Tourplan m. sløjfer'!D29</f>
        <v>Travelers Championship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271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83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10</v>
      </c>
      <c r="B4" s="251">
        <v>13.6</v>
      </c>
      <c r="C4" s="73">
        <v>35</v>
      </c>
      <c r="D4" s="74">
        <v>30</v>
      </c>
      <c r="E4" s="75"/>
      <c r="F4" s="73">
        <v>1</v>
      </c>
      <c r="G4" s="73">
        <v>10</v>
      </c>
      <c r="H4" s="76">
        <f>I4+N4</f>
        <v>1550000</v>
      </c>
      <c r="I4" s="77">
        <f aca="true" t="shared" si="0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14</v>
      </c>
      <c r="B5" s="251">
        <v>12.5</v>
      </c>
      <c r="C5" s="73">
        <v>33</v>
      </c>
      <c r="D5" s="93">
        <v>34</v>
      </c>
      <c r="E5" s="89">
        <v>6.98</v>
      </c>
      <c r="F5" s="73">
        <v>2</v>
      </c>
      <c r="G5" s="73">
        <v>8</v>
      </c>
      <c r="H5" s="76">
        <f>I5+N5</f>
        <v>1610000</v>
      </c>
      <c r="I5" s="77">
        <f t="shared" si="0"/>
        <v>410000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38</v>
      </c>
      <c r="B6" s="251">
        <v>15.4</v>
      </c>
      <c r="C6" s="74">
        <v>32</v>
      </c>
      <c r="D6" s="74">
        <v>37</v>
      </c>
      <c r="E6" s="89"/>
      <c r="F6" s="12">
        <v>3</v>
      </c>
      <c r="G6" s="12">
        <v>6</v>
      </c>
      <c r="H6" s="76">
        <f>I6+N6</f>
        <v>950000</v>
      </c>
      <c r="I6" s="77">
        <f t="shared" si="0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32</v>
      </c>
      <c r="B7" s="251">
        <v>14.1</v>
      </c>
      <c r="C7" s="73">
        <v>31</v>
      </c>
      <c r="D7" s="93">
        <v>39</v>
      </c>
      <c r="E7" s="75">
        <v>12.98</v>
      </c>
      <c r="F7" s="73">
        <v>4</v>
      </c>
      <c r="G7" s="73">
        <v>5</v>
      </c>
      <c r="H7" s="76">
        <v>870000</v>
      </c>
      <c r="I7" s="77">
        <f t="shared" si="0"/>
        <v>410000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171</v>
      </c>
      <c r="B8" s="251">
        <v>11.5</v>
      </c>
      <c r="C8" s="73">
        <v>30</v>
      </c>
      <c r="D8" s="74">
        <v>32</v>
      </c>
      <c r="E8" s="75"/>
      <c r="F8" s="73">
        <v>5</v>
      </c>
      <c r="G8" s="73">
        <v>4</v>
      </c>
      <c r="H8" s="76">
        <f>I8+N8</f>
        <v>650000</v>
      </c>
      <c r="I8" s="77">
        <f t="shared" si="0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20</v>
      </c>
      <c r="B9" s="251">
        <v>15.9</v>
      </c>
      <c r="C9" s="93">
        <v>30</v>
      </c>
      <c r="D9" s="93">
        <v>27</v>
      </c>
      <c r="E9" s="75"/>
      <c r="F9" s="90">
        <v>6</v>
      </c>
      <c r="G9" s="90">
        <v>3</v>
      </c>
      <c r="H9" s="76">
        <f>I9+N9</f>
        <v>530000</v>
      </c>
      <c r="I9" s="77">
        <f t="shared" si="0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18</v>
      </c>
      <c r="B10" s="251">
        <v>13.8</v>
      </c>
      <c r="C10" s="73">
        <v>29</v>
      </c>
      <c r="D10" s="74">
        <v>31</v>
      </c>
      <c r="E10" s="75"/>
      <c r="F10" s="73">
        <v>7</v>
      </c>
      <c r="G10" s="73">
        <v>2</v>
      </c>
      <c r="H10" s="76">
        <f>I10+N10</f>
        <v>410000</v>
      </c>
      <c r="I10" s="77">
        <f t="shared" si="0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30</v>
      </c>
      <c r="B11" s="251">
        <v>9.9</v>
      </c>
      <c r="C11" s="73">
        <v>28</v>
      </c>
      <c r="D11" s="74">
        <v>36</v>
      </c>
      <c r="E11" s="75" t="s">
        <v>272</v>
      </c>
      <c r="F11" s="73">
        <v>8</v>
      </c>
      <c r="G11" s="73">
        <v>1</v>
      </c>
      <c r="H11" s="76">
        <v>490000</v>
      </c>
      <c r="I11" s="77">
        <f t="shared" si="0"/>
        <v>410000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26</v>
      </c>
      <c r="B12" s="251">
        <v>23.7</v>
      </c>
      <c r="C12" s="73">
        <v>27</v>
      </c>
      <c r="D12" s="74">
        <v>38</v>
      </c>
      <c r="E12" s="75"/>
      <c r="F12" s="73"/>
      <c r="G12" s="73"/>
      <c r="H12" s="76">
        <f aca="true" t="shared" si="1" ref="H12:H27">I12</f>
        <v>50000</v>
      </c>
      <c r="I12" s="77">
        <f aca="true" t="shared" si="2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12</v>
      </c>
      <c r="B13" s="251">
        <v>17.8</v>
      </c>
      <c r="C13" s="74">
        <v>26</v>
      </c>
      <c r="D13" s="93">
        <v>33</v>
      </c>
      <c r="E13" s="75"/>
      <c r="F13" s="73"/>
      <c r="G13" s="73"/>
      <c r="H13" s="76">
        <f t="shared" si="1"/>
        <v>50000</v>
      </c>
      <c r="I13" s="77">
        <f t="shared" si="2"/>
        <v>50000</v>
      </c>
      <c r="J13" s="94" t="s">
        <v>95</v>
      </c>
      <c r="K13" s="95"/>
      <c r="L13" s="96"/>
      <c r="M13" s="97"/>
      <c r="N13" s="98">
        <f>N10</f>
        <v>360000</v>
      </c>
    </row>
    <row r="14" spans="1:14" s="82" customFormat="1" ht="18" customHeight="1">
      <c r="A14" s="154" t="s">
        <v>28</v>
      </c>
      <c r="B14" s="251">
        <v>10.7</v>
      </c>
      <c r="C14" s="74">
        <v>25</v>
      </c>
      <c r="D14" s="74">
        <v>35</v>
      </c>
      <c r="E14" s="75"/>
      <c r="F14" s="73"/>
      <c r="G14" s="73"/>
      <c r="H14" s="76">
        <f t="shared" si="1"/>
        <v>50000</v>
      </c>
      <c r="I14" s="77">
        <f t="shared" si="2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24</v>
      </c>
      <c r="B15" s="251">
        <v>14.5</v>
      </c>
      <c r="C15" s="73">
        <v>25</v>
      </c>
      <c r="D15" s="74">
        <v>40</v>
      </c>
      <c r="E15" s="75"/>
      <c r="F15" s="73"/>
      <c r="G15" s="73"/>
      <c r="H15" s="76">
        <f t="shared" si="1"/>
        <v>50000</v>
      </c>
      <c r="I15" s="77">
        <f t="shared" si="2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34</v>
      </c>
      <c r="B16" s="251">
        <v>15.3</v>
      </c>
      <c r="C16" s="74">
        <v>25</v>
      </c>
      <c r="D16" s="74">
        <v>35</v>
      </c>
      <c r="E16" s="75"/>
      <c r="F16" s="12"/>
      <c r="G16" s="12"/>
      <c r="H16" s="76">
        <f t="shared" si="1"/>
        <v>50000</v>
      </c>
      <c r="I16" s="77">
        <f t="shared" si="2"/>
        <v>50000</v>
      </c>
    </row>
    <row r="17" spans="1:18" s="82" customFormat="1" ht="18" customHeight="1">
      <c r="A17" s="154" t="s">
        <v>42</v>
      </c>
      <c r="B17" s="251">
        <v>18.3</v>
      </c>
      <c r="C17" s="73">
        <v>25</v>
      </c>
      <c r="D17" s="93">
        <v>42</v>
      </c>
      <c r="E17" s="75"/>
      <c r="F17" s="12"/>
      <c r="G17" s="12"/>
      <c r="H17" s="76">
        <f t="shared" si="1"/>
        <v>50000</v>
      </c>
      <c r="I17" s="77">
        <f t="shared" si="2"/>
        <v>50000</v>
      </c>
      <c r="O17" s="87"/>
      <c r="P17" s="87"/>
      <c r="Q17" s="87"/>
      <c r="R17" s="88"/>
    </row>
    <row r="18" spans="1:13" s="82" customFormat="1" ht="18" customHeight="1">
      <c r="A18" s="154" t="s">
        <v>16</v>
      </c>
      <c r="B18" s="251">
        <v>19.4</v>
      </c>
      <c r="C18" s="73">
        <v>24</v>
      </c>
      <c r="D18" s="93">
        <v>42</v>
      </c>
      <c r="E18" s="89"/>
      <c r="F18" s="73"/>
      <c r="G18" s="73"/>
      <c r="H18" s="76">
        <f t="shared" si="1"/>
        <v>50000</v>
      </c>
      <c r="I18" s="77">
        <f t="shared" si="2"/>
        <v>50000</v>
      </c>
      <c r="J18" s="88"/>
      <c r="K18" s="88"/>
      <c r="L18" s="88"/>
      <c r="M18" s="88"/>
    </row>
    <row r="19" spans="1:13" s="82" customFormat="1" ht="18" customHeight="1">
      <c r="A19" s="154" t="s">
        <v>8</v>
      </c>
      <c r="B19" s="251">
        <v>20.8</v>
      </c>
      <c r="C19" s="74">
        <v>23</v>
      </c>
      <c r="D19" s="74">
        <v>39</v>
      </c>
      <c r="E19" s="75"/>
      <c r="F19" s="73"/>
      <c r="G19" s="73"/>
      <c r="H19" s="76">
        <f t="shared" si="1"/>
        <v>50000</v>
      </c>
      <c r="I19" s="77">
        <f t="shared" si="2"/>
        <v>50000</v>
      </c>
      <c r="J19" s="88"/>
      <c r="K19" s="88"/>
      <c r="L19" s="88"/>
      <c r="M19" s="88"/>
    </row>
    <row r="20" spans="1:9" s="57" customFormat="1" ht="18" customHeight="1">
      <c r="A20" s="154" t="s">
        <v>46</v>
      </c>
      <c r="B20" s="251">
        <v>20.9</v>
      </c>
      <c r="C20" s="73">
        <v>22</v>
      </c>
      <c r="D20" s="74">
        <v>41</v>
      </c>
      <c r="E20" s="89"/>
      <c r="F20" s="12"/>
      <c r="G20" s="12"/>
      <c r="H20" s="76">
        <f t="shared" si="1"/>
        <v>50000</v>
      </c>
      <c r="I20" s="77">
        <f t="shared" si="2"/>
        <v>50000</v>
      </c>
    </row>
    <row r="21" spans="1:9" s="57" customFormat="1" ht="18" customHeight="1">
      <c r="A21" s="154" t="s">
        <v>40</v>
      </c>
      <c r="B21" s="251">
        <v>21.4</v>
      </c>
      <c r="C21" s="12">
        <v>22</v>
      </c>
      <c r="D21" s="74">
        <v>45</v>
      </c>
      <c r="E21" s="75"/>
      <c r="F21" s="12"/>
      <c r="G21" s="12"/>
      <c r="H21" s="76">
        <f t="shared" si="1"/>
        <v>50000</v>
      </c>
      <c r="I21" s="77">
        <f t="shared" si="2"/>
        <v>50000</v>
      </c>
    </row>
    <row r="22" spans="1:9" s="57" customFormat="1" ht="18" customHeight="1">
      <c r="A22" s="154"/>
      <c r="B22" s="251"/>
      <c r="C22" s="12"/>
      <c r="D22" s="93"/>
      <c r="E22" s="89"/>
      <c r="F22" s="12"/>
      <c r="G22" s="12"/>
      <c r="H22" s="76">
        <f t="shared" si="1"/>
        <v>0</v>
      </c>
      <c r="I22" s="77">
        <f t="shared" si="2"/>
        <v>0</v>
      </c>
    </row>
    <row r="23" spans="1:9" s="57" customFormat="1" ht="18" customHeight="1">
      <c r="A23" s="154"/>
      <c r="B23" s="251"/>
      <c r="C23" s="73"/>
      <c r="D23" s="74"/>
      <c r="E23" s="89"/>
      <c r="F23" s="12"/>
      <c r="G23" s="12"/>
      <c r="H23" s="76">
        <f t="shared" si="1"/>
        <v>0</v>
      </c>
      <c r="I23" s="77">
        <f t="shared" si="2"/>
        <v>0</v>
      </c>
    </row>
    <row r="24" spans="1:9" s="57" customFormat="1" ht="18" customHeight="1">
      <c r="A24" s="154"/>
      <c r="B24" s="251"/>
      <c r="C24" s="73"/>
      <c r="D24" s="93"/>
      <c r="E24" s="89"/>
      <c r="F24" s="12"/>
      <c r="G24" s="12"/>
      <c r="H24" s="76">
        <f t="shared" si="1"/>
        <v>0</v>
      </c>
      <c r="I24" s="77">
        <f t="shared" si="2"/>
        <v>0</v>
      </c>
    </row>
    <row r="25" spans="1:9" s="57" customFormat="1" ht="18" customHeight="1">
      <c r="A25" s="154"/>
      <c r="B25" s="251"/>
      <c r="C25" s="74"/>
      <c r="D25" s="74"/>
      <c r="E25" s="89"/>
      <c r="F25" s="12"/>
      <c r="G25" s="12"/>
      <c r="H25" s="76">
        <f t="shared" si="1"/>
        <v>0</v>
      </c>
      <c r="I25" s="77">
        <f t="shared" si="2"/>
        <v>0</v>
      </c>
    </row>
    <row r="26" spans="1:9" s="57" customFormat="1" ht="18" customHeight="1">
      <c r="A26" s="154"/>
      <c r="B26" s="251"/>
      <c r="C26" s="73"/>
      <c r="D26" s="74"/>
      <c r="E26" s="75"/>
      <c r="F26" s="73"/>
      <c r="G26" s="73"/>
      <c r="H26" s="76">
        <f t="shared" si="1"/>
        <v>0</v>
      </c>
      <c r="I26" s="77">
        <f t="shared" si="2"/>
        <v>0</v>
      </c>
    </row>
    <row r="27" spans="1:9" s="57" customFormat="1" ht="18" customHeight="1">
      <c r="A27" s="154"/>
      <c r="B27" s="251"/>
      <c r="C27" s="73"/>
      <c r="D27" s="74"/>
      <c r="E27" s="75"/>
      <c r="F27" s="73"/>
      <c r="G27" s="73"/>
      <c r="H27" s="76">
        <f t="shared" si="1"/>
        <v>0</v>
      </c>
      <c r="I27" s="77">
        <f t="shared" si="2"/>
        <v>0</v>
      </c>
    </row>
    <row r="28" spans="1:9" ht="24" customHeight="1">
      <c r="A28" s="1"/>
      <c r="B28" s="3"/>
      <c r="C28" s="107"/>
      <c r="D28" s="108">
        <f>SUM(D4:D27)</f>
        <v>656</v>
      </c>
      <c r="E28" s="107"/>
      <c r="F28" s="3"/>
      <c r="G28" s="109">
        <f>SUM(G4:G27)</f>
        <v>39</v>
      </c>
      <c r="H28" s="109">
        <f>SUM(H4:H27)</f>
        <v>7560000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160" zoomScaleNormal="160" zoomScalePageLayoutView="0" workbookViewId="0" topLeftCell="A1">
      <selection activeCell="B2" sqref="B2:C22"/>
    </sheetView>
  </sheetViews>
  <sheetFormatPr defaultColWidth="11.57421875" defaultRowHeight="12.75"/>
  <cols>
    <col min="1" max="1" width="10.8515625" style="3" customWidth="1"/>
    <col min="2" max="2" width="23.421875" style="1" bestFit="1" customWidth="1"/>
    <col min="3" max="3" width="11.421875" style="1" customWidth="1"/>
    <col min="4" max="4" width="14.140625" style="1" customWidth="1"/>
    <col min="5" max="5" width="25.8515625" style="256" customWidth="1"/>
    <col min="6" max="16384" width="11.421875" style="1" customWidth="1"/>
  </cols>
  <sheetData>
    <row r="1" spans="1:4" ht="13.5">
      <c r="A1" s="249" t="s">
        <v>155</v>
      </c>
      <c r="B1" s="250" t="s">
        <v>6</v>
      </c>
      <c r="C1" s="250" t="s">
        <v>7</v>
      </c>
      <c r="D1" s="246"/>
    </row>
    <row r="2" spans="1:7" ht="13.5">
      <c r="A2" s="163">
        <v>4726</v>
      </c>
      <c r="B2" s="154" t="s">
        <v>8</v>
      </c>
      <c r="C2" s="251">
        <v>19.9</v>
      </c>
      <c r="D2" s="154" t="s">
        <v>9</v>
      </c>
      <c r="E2" s="154" t="s">
        <v>36</v>
      </c>
      <c r="F2" s="251" t="s">
        <v>310</v>
      </c>
      <c r="G2" s="420" t="s">
        <v>311</v>
      </c>
    </row>
    <row r="3" spans="1:7" ht="13.5">
      <c r="A3" s="163">
        <v>4737</v>
      </c>
      <c r="B3" s="154" t="s">
        <v>10</v>
      </c>
      <c r="C3" s="251">
        <v>12.9</v>
      </c>
      <c r="D3" s="154" t="s">
        <v>11</v>
      </c>
      <c r="E3" s="154" t="s">
        <v>10</v>
      </c>
      <c r="F3" s="251" t="s">
        <v>312</v>
      </c>
      <c r="G3" s="420" t="s">
        <v>313</v>
      </c>
    </row>
    <row r="4" spans="1:7" ht="13.5">
      <c r="A4" s="163">
        <v>1354</v>
      </c>
      <c r="B4" s="154" t="s">
        <v>12</v>
      </c>
      <c r="C4" s="251">
        <v>17.3</v>
      </c>
      <c r="D4" s="154" t="s">
        <v>13</v>
      </c>
      <c r="E4" s="154" t="s">
        <v>12</v>
      </c>
      <c r="F4" s="251" t="s">
        <v>314</v>
      </c>
      <c r="G4" s="420" t="s">
        <v>313</v>
      </c>
    </row>
    <row r="5" spans="1:7" ht="13.5">
      <c r="A5" s="163">
        <v>2619</v>
      </c>
      <c r="B5" s="154" t="s">
        <v>14</v>
      </c>
      <c r="C5" s="251">
        <v>12.1</v>
      </c>
      <c r="D5" s="154" t="s">
        <v>15</v>
      </c>
      <c r="E5" s="154" t="s">
        <v>42</v>
      </c>
      <c r="F5" s="251" t="s">
        <v>315</v>
      </c>
      <c r="G5" s="420" t="s">
        <v>313</v>
      </c>
    </row>
    <row r="6" spans="1:7" ht="13.5">
      <c r="A6" s="191">
        <v>3488</v>
      </c>
      <c r="B6" s="154" t="s">
        <v>16</v>
      </c>
      <c r="C6" s="251">
        <v>20.1</v>
      </c>
      <c r="D6" s="154" t="s">
        <v>17</v>
      </c>
      <c r="E6" s="154" t="s">
        <v>32</v>
      </c>
      <c r="F6" s="251" t="s">
        <v>316</v>
      </c>
      <c r="G6" s="420" t="s">
        <v>317</v>
      </c>
    </row>
    <row r="7" spans="1:7" ht="13.5">
      <c r="A7" s="163">
        <v>3768</v>
      </c>
      <c r="B7" s="154" t="s">
        <v>18</v>
      </c>
      <c r="C7" s="251">
        <v>13.6</v>
      </c>
      <c r="D7" s="154" t="s">
        <v>19</v>
      </c>
      <c r="E7" s="154" t="s">
        <v>26</v>
      </c>
      <c r="F7" s="251" t="s">
        <v>320</v>
      </c>
      <c r="G7" s="420" t="s">
        <v>319</v>
      </c>
    </row>
    <row r="8" spans="1:7" ht="13.5">
      <c r="A8" s="163">
        <v>4638</v>
      </c>
      <c r="B8" s="154" t="s">
        <v>20</v>
      </c>
      <c r="C8" s="251">
        <v>16.1</v>
      </c>
      <c r="D8" s="154" t="s">
        <v>21</v>
      </c>
      <c r="E8" s="154" t="s">
        <v>171</v>
      </c>
      <c r="F8" s="251" t="s">
        <v>318</v>
      </c>
      <c r="G8" s="420" t="s">
        <v>319</v>
      </c>
    </row>
    <row r="9" spans="1:7" ht="13.5">
      <c r="A9" s="163">
        <v>3112</v>
      </c>
      <c r="B9" s="154" t="s">
        <v>22</v>
      </c>
      <c r="C9" s="251">
        <v>12.2</v>
      </c>
      <c r="D9" s="154" t="s">
        <v>23</v>
      </c>
      <c r="E9" s="154" t="s">
        <v>22</v>
      </c>
      <c r="F9" s="251" t="s">
        <v>324</v>
      </c>
      <c r="G9" s="420" t="s">
        <v>322</v>
      </c>
    </row>
    <row r="10" spans="1:7" ht="13.5">
      <c r="A10" s="163">
        <v>3898</v>
      </c>
      <c r="B10" s="154" t="s">
        <v>24</v>
      </c>
      <c r="C10" s="251">
        <v>13.3</v>
      </c>
      <c r="D10" s="154" t="s">
        <v>25</v>
      </c>
      <c r="E10" s="154" t="s">
        <v>28</v>
      </c>
      <c r="F10" s="251" t="s">
        <v>323</v>
      </c>
      <c r="G10" s="420" t="s">
        <v>322</v>
      </c>
    </row>
    <row r="11" spans="1:7" ht="13.5">
      <c r="A11" s="163">
        <v>3157</v>
      </c>
      <c r="B11" s="154" t="s">
        <v>26</v>
      </c>
      <c r="C11" s="251">
        <v>22.7</v>
      </c>
      <c r="D11" s="154" t="s">
        <v>27</v>
      </c>
      <c r="E11" s="154" t="s">
        <v>40</v>
      </c>
      <c r="F11" s="251" t="s">
        <v>326</v>
      </c>
      <c r="G11" s="420" t="s">
        <v>322</v>
      </c>
    </row>
    <row r="12" spans="1:7" ht="13.5">
      <c r="A12" s="163">
        <v>4596</v>
      </c>
      <c r="B12" s="154" t="s">
        <v>28</v>
      </c>
      <c r="C12" s="251">
        <v>11.1</v>
      </c>
      <c r="D12" s="154" t="s">
        <v>29</v>
      </c>
      <c r="E12" s="154" t="s">
        <v>46</v>
      </c>
      <c r="F12" s="251" t="s">
        <v>325</v>
      </c>
      <c r="G12" s="420" t="s">
        <v>322</v>
      </c>
    </row>
    <row r="13" spans="1:7" ht="13.5">
      <c r="A13" s="163">
        <v>4765</v>
      </c>
      <c r="B13" s="154" t="s">
        <v>30</v>
      </c>
      <c r="C13" s="251">
        <v>9.8</v>
      </c>
      <c r="D13" s="154" t="s">
        <v>31</v>
      </c>
      <c r="E13" s="154" t="s">
        <v>48</v>
      </c>
      <c r="F13" s="251" t="s">
        <v>321</v>
      </c>
      <c r="G13" s="420" t="s">
        <v>322</v>
      </c>
    </row>
    <row r="14" spans="1:7" ht="13.5">
      <c r="A14" s="163">
        <v>2646</v>
      </c>
      <c r="B14" s="154" t="s">
        <v>32</v>
      </c>
      <c r="C14" s="251">
        <v>13.3</v>
      </c>
      <c r="D14" s="154" t="s">
        <v>33</v>
      </c>
      <c r="E14" s="154" t="s">
        <v>8</v>
      </c>
      <c r="F14" s="251" t="s">
        <v>327</v>
      </c>
      <c r="G14" s="420" t="s">
        <v>328</v>
      </c>
    </row>
    <row r="15" spans="1:7" ht="13.5">
      <c r="A15" s="163">
        <v>2332</v>
      </c>
      <c r="B15" s="154" t="s">
        <v>34</v>
      </c>
      <c r="C15" s="251">
        <v>15.6</v>
      </c>
      <c r="D15" s="154" t="s">
        <v>35</v>
      </c>
      <c r="E15" s="154" t="s">
        <v>14</v>
      </c>
      <c r="F15" s="251" t="s">
        <v>329</v>
      </c>
      <c r="G15" s="420" t="s">
        <v>330</v>
      </c>
    </row>
    <row r="16" spans="1:7" ht="13.5">
      <c r="A16" s="163">
        <v>4875</v>
      </c>
      <c r="B16" s="154" t="s">
        <v>36</v>
      </c>
      <c r="C16" s="251">
        <v>18.9</v>
      </c>
      <c r="D16" s="154" t="s">
        <v>37</v>
      </c>
      <c r="E16" s="154" t="s">
        <v>16</v>
      </c>
      <c r="F16" s="251" t="s">
        <v>333</v>
      </c>
      <c r="G16" s="420" t="s">
        <v>332</v>
      </c>
    </row>
    <row r="17" spans="1:7" ht="13.5">
      <c r="A17" s="163">
        <v>3181</v>
      </c>
      <c r="B17" s="154" t="s">
        <v>38</v>
      </c>
      <c r="C17" s="251">
        <v>12.7</v>
      </c>
      <c r="D17" s="154" t="s">
        <v>39</v>
      </c>
      <c r="E17" s="154" t="s">
        <v>30</v>
      </c>
      <c r="F17" s="251" t="s">
        <v>331</v>
      </c>
      <c r="G17" s="420" t="s">
        <v>332</v>
      </c>
    </row>
    <row r="18" spans="1:7" ht="13.5">
      <c r="A18" s="163">
        <v>4975</v>
      </c>
      <c r="B18" s="154" t="s">
        <v>40</v>
      </c>
      <c r="C18" s="251">
        <v>20.7</v>
      </c>
      <c r="D18" s="154" t="s">
        <v>41</v>
      </c>
      <c r="E18" s="154" t="s">
        <v>34</v>
      </c>
      <c r="F18" s="251" t="s">
        <v>334</v>
      </c>
      <c r="G18" s="420" t="s">
        <v>335</v>
      </c>
    </row>
    <row r="19" spans="1:7" ht="13.5">
      <c r="A19" s="163">
        <v>4620</v>
      </c>
      <c r="B19" s="154" t="s">
        <v>42</v>
      </c>
      <c r="C19" s="251">
        <v>18.3</v>
      </c>
      <c r="D19" s="154" t="s">
        <v>43</v>
      </c>
      <c r="F19" s="251"/>
      <c r="G19" s="417"/>
    </row>
    <row r="20" spans="1:4" ht="13.5">
      <c r="A20" s="163">
        <v>3912</v>
      </c>
      <c r="B20" s="154" t="s">
        <v>44</v>
      </c>
      <c r="C20" s="251">
        <v>15.6</v>
      </c>
      <c r="D20" s="154" t="s">
        <v>45</v>
      </c>
    </row>
    <row r="21" spans="1:4" ht="13.5">
      <c r="A21" s="163">
        <v>3831</v>
      </c>
      <c r="B21" s="154" t="s">
        <v>46</v>
      </c>
      <c r="C21" s="251">
        <v>21</v>
      </c>
      <c r="D21" s="154" t="s">
        <v>47</v>
      </c>
    </row>
    <row r="22" spans="1:4" ht="13.5">
      <c r="A22" s="163">
        <v>2991</v>
      </c>
      <c r="B22" s="154" t="s">
        <v>48</v>
      </c>
      <c r="C22" s="251">
        <v>7.6</v>
      </c>
      <c r="D22" s="154" t="s">
        <v>49</v>
      </c>
    </row>
    <row r="23" spans="1:4" ht="13.5">
      <c r="A23" s="163">
        <v>3747</v>
      </c>
      <c r="B23" s="154" t="s">
        <v>171</v>
      </c>
      <c r="C23" s="251">
        <v>11</v>
      </c>
      <c r="D23" s="154" t="s">
        <v>172</v>
      </c>
    </row>
    <row r="24" spans="1:4" ht="13.5">
      <c r="A24" s="191">
        <v>2919</v>
      </c>
      <c r="B24" s="154" t="s">
        <v>50</v>
      </c>
      <c r="C24" s="251">
        <v>24.3</v>
      </c>
      <c r="D24" s="154" t="s">
        <v>51</v>
      </c>
    </row>
    <row r="25" spans="1:4" ht="13.5">
      <c r="A25" s="163">
        <v>4949</v>
      </c>
      <c r="B25" s="154" t="s">
        <v>52</v>
      </c>
      <c r="C25" s="251">
        <v>12.2</v>
      </c>
      <c r="D25" s="154" t="s">
        <v>53</v>
      </c>
    </row>
    <row r="26" spans="1:4" ht="13.5">
      <c r="A26" s="248"/>
      <c r="B26" s="247"/>
      <c r="C26" s="247"/>
      <c r="D26" s="247"/>
    </row>
    <row r="27" spans="1:4" ht="13.5">
      <c r="A27" s="248"/>
      <c r="B27" s="247"/>
      <c r="C27" s="247"/>
      <c r="D27" s="247"/>
    </row>
    <row r="28" spans="1:5" s="192" customFormat="1" ht="13.5">
      <c r="A28" s="248"/>
      <c r="B28" s="247"/>
      <c r="C28" s="247"/>
      <c r="D28" s="247"/>
      <c r="E28" s="257"/>
    </row>
    <row r="29" spans="1:4" ht="13.5">
      <c r="A29" s="248"/>
      <c r="B29" s="247"/>
      <c r="C29" s="247"/>
      <c r="D29" s="247"/>
    </row>
    <row r="30" spans="1:4" ht="13.5">
      <c r="A30" s="248"/>
      <c r="B30" s="247"/>
      <c r="C30" s="247"/>
      <c r="D30" s="247"/>
    </row>
    <row r="31" spans="1:4" ht="13.5">
      <c r="A31" s="248"/>
      <c r="B31" s="247"/>
      <c r="C31" s="247"/>
      <c r="D31" s="2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ignoredErrors>
    <ignoredError sqref="F1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107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192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109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36</v>
      </c>
      <c r="B4" s="251">
        <v>19.2</v>
      </c>
      <c r="C4" s="74">
        <v>38</v>
      </c>
      <c r="D4" s="74">
        <v>34</v>
      </c>
      <c r="E4" s="75"/>
      <c r="F4" s="73">
        <v>1</v>
      </c>
      <c r="G4" s="73">
        <v>10</v>
      </c>
      <c r="H4" s="76">
        <f aca="true" t="shared" si="0" ref="H4:H11">N4+I4</f>
        <v>2050000</v>
      </c>
      <c r="I4" s="77">
        <f aca="true" t="shared" si="1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2000000</v>
      </c>
    </row>
    <row r="5" spans="1:14" s="82" customFormat="1" ht="18" customHeight="1">
      <c r="A5" s="154" t="s">
        <v>26</v>
      </c>
      <c r="B5" s="251">
        <v>24.5</v>
      </c>
      <c r="C5" s="74">
        <v>38</v>
      </c>
      <c r="D5" s="93">
        <v>32</v>
      </c>
      <c r="E5" s="75"/>
      <c r="F5" s="73">
        <v>2</v>
      </c>
      <c r="G5" s="73">
        <v>8</v>
      </c>
      <c r="H5" s="76">
        <f t="shared" si="0"/>
        <v>1650000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1600000</v>
      </c>
    </row>
    <row r="6" spans="1:14" s="82" customFormat="1" ht="18" customHeight="1">
      <c r="A6" s="154" t="s">
        <v>10</v>
      </c>
      <c r="B6" s="251">
        <v>13.8</v>
      </c>
      <c r="C6" s="12">
        <v>37</v>
      </c>
      <c r="D6" s="93">
        <v>35</v>
      </c>
      <c r="E6" s="89"/>
      <c r="F6" s="12">
        <v>3</v>
      </c>
      <c r="G6" s="12">
        <v>6</v>
      </c>
      <c r="H6" s="76">
        <f t="shared" si="0"/>
        <v>1250000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1200000</v>
      </c>
    </row>
    <row r="7" spans="1:16" s="82" customFormat="1" ht="18" customHeight="1">
      <c r="A7" s="154" t="s">
        <v>52</v>
      </c>
      <c r="B7" s="251">
        <v>12.1</v>
      </c>
      <c r="C7" s="12">
        <v>36</v>
      </c>
      <c r="D7" s="74">
        <v>35</v>
      </c>
      <c r="E7" s="89"/>
      <c r="F7" s="73">
        <v>4</v>
      </c>
      <c r="G7" s="73">
        <v>5</v>
      </c>
      <c r="H7" s="76">
        <f t="shared" si="0"/>
        <v>1010000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960000</v>
      </c>
      <c r="O7" s="87"/>
      <c r="P7" s="87"/>
    </row>
    <row r="8" spans="1:14" s="82" customFormat="1" ht="18" customHeight="1">
      <c r="A8" s="154" t="s">
        <v>8</v>
      </c>
      <c r="B8" s="251">
        <v>20.8</v>
      </c>
      <c r="C8" s="73">
        <v>36</v>
      </c>
      <c r="D8" s="74">
        <v>32</v>
      </c>
      <c r="E8" s="75"/>
      <c r="F8" s="73">
        <v>5</v>
      </c>
      <c r="G8" s="73">
        <v>4</v>
      </c>
      <c r="H8" s="76">
        <f t="shared" si="0"/>
        <v>850000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800000</v>
      </c>
    </row>
    <row r="9" spans="1:14" s="82" customFormat="1" ht="18" customHeight="1">
      <c r="A9" s="154" t="s">
        <v>24</v>
      </c>
      <c r="B9" s="251">
        <v>15.7</v>
      </c>
      <c r="C9" s="73">
        <v>35</v>
      </c>
      <c r="D9" s="74">
        <v>34</v>
      </c>
      <c r="E9" s="75"/>
      <c r="F9" s="90">
        <v>6</v>
      </c>
      <c r="G9" s="90">
        <v>3</v>
      </c>
      <c r="H9" s="76">
        <f t="shared" si="0"/>
        <v>690000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640000</v>
      </c>
    </row>
    <row r="10" spans="1:14" s="82" customFormat="1" ht="18" customHeight="1">
      <c r="A10" s="154" t="s">
        <v>30</v>
      </c>
      <c r="B10" s="251">
        <v>9.7</v>
      </c>
      <c r="C10" s="73">
        <v>31</v>
      </c>
      <c r="D10" s="74">
        <v>35</v>
      </c>
      <c r="E10" s="89">
        <v>11.25</v>
      </c>
      <c r="F10" s="73">
        <v>7</v>
      </c>
      <c r="G10" s="73">
        <v>2</v>
      </c>
      <c r="H10" s="76">
        <f t="shared" si="0"/>
        <v>1010000</v>
      </c>
      <c r="I10" s="77">
        <f t="shared" si="1"/>
        <v>530000</v>
      </c>
      <c r="J10" s="83" t="s">
        <v>92</v>
      </c>
      <c r="K10" s="84"/>
      <c r="L10" s="85"/>
      <c r="M10" s="86">
        <v>2</v>
      </c>
      <c r="N10" s="76">
        <f>N12*6%</f>
        <v>480000</v>
      </c>
    </row>
    <row r="11" spans="1:14" s="82" customFormat="1" ht="18" customHeight="1">
      <c r="A11" s="154" t="s">
        <v>40</v>
      </c>
      <c r="B11" s="251">
        <v>21.3</v>
      </c>
      <c r="C11" s="73">
        <v>30</v>
      </c>
      <c r="D11" s="93">
        <v>39</v>
      </c>
      <c r="E11" s="89"/>
      <c r="F11" s="73">
        <v>8</v>
      </c>
      <c r="G11" s="73">
        <v>1</v>
      </c>
      <c r="H11" s="76">
        <f t="shared" si="0"/>
        <v>370000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320000</v>
      </c>
    </row>
    <row r="12" spans="1:14" s="82" customFormat="1" ht="18" customHeight="1">
      <c r="A12" s="154" t="s">
        <v>32</v>
      </c>
      <c r="B12" s="251">
        <v>14</v>
      </c>
      <c r="C12" s="73">
        <v>29</v>
      </c>
      <c r="D12" s="93">
        <v>38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8000000</v>
      </c>
    </row>
    <row r="13" spans="1:14" s="82" customFormat="1" ht="18" customHeight="1">
      <c r="A13" s="154" t="s">
        <v>28</v>
      </c>
      <c r="B13" s="251">
        <v>10.6</v>
      </c>
      <c r="C13" s="73">
        <v>26</v>
      </c>
      <c r="D13" s="74">
        <v>32</v>
      </c>
      <c r="E13" s="89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480000</v>
      </c>
    </row>
    <row r="14" spans="1:14" s="82" customFormat="1" ht="18" customHeight="1">
      <c r="A14" s="154" t="s">
        <v>14</v>
      </c>
      <c r="B14" s="251">
        <v>12.4</v>
      </c>
      <c r="C14" s="74">
        <v>26</v>
      </c>
      <c r="D14" s="74">
        <v>34</v>
      </c>
      <c r="E14" s="89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42</v>
      </c>
      <c r="B15" s="251">
        <v>18.2</v>
      </c>
      <c r="C15" s="73">
        <v>26</v>
      </c>
      <c r="D15" s="74">
        <v>34</v>
      </c>
      <c r="E15" s="89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/>
      <c r="B16" s="251"/>
      <c r="C16" s="73"/>
      <c r="D16" s="74"/>
      <c r="E16" s="75"/>
      <c r="F16" s="12"/>
      <c r="G16" s="12"/>
      <c r="H16" s="76">
        <f t="shared" si="2"/>
        <v>0</v>
      </c>
      <c r="I16" s="77">
        <f t="shared" si="3"/>
        <v>0</v>
      </c>
    </row>
    <row r="17" spans="1:9" s="82" customFormat="1" ht="18" customHeight="1">
      <c r="A17" s="154"/>
      <c r="B17" s="251"/>
      <c r="C17" s="73"/>
      <c r="D17" s="74"/>
      <c r="E17" s="75"/>
      <c r="F17" s="12"/>
      <c r="G17" s="12"/>
      <c r="H17" s="76">
        <f t="shared" si="2"/>
        <v>0</v>
      </c>
      <c r="I17" s="77">
        <f t="shared" si="3"/>
        <v>0</v>
      </c>
    </row>
    <row r="18" spans="1:12" s="82" customFormat="1" ht="18" customHeight="1">
      <c r="A18" s="154"/>
      <c r="B18" s="251"/>
      <c r="C18" s="74"/>
      <c r="D18" s="74"/>
      <c r="E18" s="75"/>
      <c r="F18" s="73"/>
      <c r="G18" s="73"/>
      <c r="H18" s="76">
        <f t="shared" si="2"/>
        <v>0</v>
      </c>
      <c r="I18" s="77">
        <f t="shared" si="3"/>
        <v>0</v>
      </c>
      <c r="J18" s="88"/>
      <c r="K18" s="88"/>
      <c r="L18" s="88"/>
    </row>
    <row r="19" spans="1:12" s="82" customFormat="1" ht="18" customHeight="1">
      <c r="A19" s="154"/>
      <c r="B19" s="251"/>
      <c r="C19" s="73"/>
      <c r="D19" s="74"/>
      <c r="E19" s="75"/>
      <c r="F19" s="73"/>
      <c r="G19" s="73"/>
      <c r="H19" s="76">
        <f t="shared" si="2"/>
        <v>0</v>
      </c>
      <c r="I19" s="77">
        <f t="shared" si="3"/>
        <v>0</v>
      </c>
      <c r="J19" s="88"/>
      <c r="K19" s="88"/>
      <c r="L19" s="88"/>
    </row>
    <row r="20" spans="1:9" s="57" customFormat="1" ht="18" customHeight="1">
      <c r="A20" s="154"/>
      <c r="B20" s="251"/>
      <c r="C20" s="73"/>
      <c r="D20" s="93"/>
      <c r="E20" s="75"/>
      <c r="F20" s="12"/>
      <c r="G20" s="12"/>
      <c r="H20" s="76">
        <f t="shared" si="2"/>
        <v>0</v>
      </c>
      <c r="I20" s="77">
        <f t="shared" si="3"/>
        <v>0</v>
      </c>
    </row>
    <row r="21" spans="1:9" s="57" customFormat="1" ht="18" customHeight="1">
      <c r="A21" s="154"/>
      <c r="B21" s="251"/>
      <c r="C21" s="74"/>
      <c r="D21" s="93"/>
      <c r="E21" s="75"/>
      <c r="F21" s="12"/>
      <c r="G21" s="12"/>
      <c r="H21" s="76">
        <f t="shared" si="2"/>
        <v>0</v>
      </c>
      <c r="I21" s="77">
        <f t="shared" si="3"/>
        <v>0</v>
      </c>
    </row>
    <row r="22" spans="1:9" s="57" customFormat="1" ht="18" customHeight="1">
      <c r="A22" s="154"/>
      <c r="B22" s="251"/>
      <c r="C22" s="73"/>
      <c r="D22" s="93"/>
      <c r="E22" s="75"/>
      <c r="F22" s="12"/>
      <c r="G22" s="12"/>
      <c r="H22" s="76">
        <f t="shared" si="2"/>
        <v>0</v>
      </c>
      <c r="I22" s="77">
        <f t="shared" si="3"/>
        <v>0</v>
      </c>
    </row>
    <row r="23" spans="1:9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</row>
    <row r="24" spans="1:9" s="57" customFormat="1" ht="18" customHeight="1">
      <c r="A24" s="154"/>
      <c r="B24" s="251"/>
      <c r="C24" s="73"/>
      <c r="D24" s="74"/>
      <c r="E24" s="89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3"/>
      <c r="D25" s="93"/>
      <c r="E25" s="75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54"/>
      <c r="B26" s="251"/>
      <c r="C26" s="93"/>
      <c r="D26" s="74"/>
      <c r="E26" s="75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54"/>
      <c r="B27" s="251"/>
      <c r="C27" s="74"/>
      <c r="D27" s="74"/>
      <c r="E27" s="75"/>
      <c r="F27" s="73"/>
      <c r="G27" s="73"/>
      <c r="H27" s="76">
        <f t="shared" si="2"/>
        <v>0</v>
      </c>
      <c r="I27" s="77">
        <f t="shared" si="3"/>
        <v>0</v>
      </c>
    </row>
    <row r="28" spans="1:9" ht="24" customHeight="1" thickBot="1">
      <c r="A28" s="1"/>
      <c r="B28" s="3"/>
      <c r="C28" s="107"/>
      <c r="D28" s="108">
        <f>SUM(D4:D27)</f>
        <v>414</v>
      </c>
      <c r="E28" s="107"/>
      <c r="F28" s="3"/>
      <c r="G28" s="109">
        <f>SUM(G4:G27)</f>
        <v>39</v>
      </c>
      <c r="H28" s="109">
        <f>SUM(H4:H27)</f>
        <v>9080000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110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193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28</v>
      </c>
      <c r="B4" s="251">
        <v>12.3</v>
      </c>
      <c r="C4" s="73">
        <v>43</v>
      </c>
      <c r="D4" s="93">
        <v>29</v>
      </c>
      <c r="E4" s="89">
        <v>2.01</v>
      </c>
      <c r="F4" s="73">
        <v>1</v>
      </c>
      <c r="G4" s="73">
        <v>10</v>
      </c>
      <c r="H4" s="76">
        <f aca="true" t="shared" si="0" ref="H4:H11">N4+I4</f>
        <v>1910000</v>
      </c>
      <c r="I4" s="77">
        <f aca="true" t="shared" si="1" ref="I4:I11">IF(E4&gt;0,$N$13,0)+IF(C4&gt;0,50000,0)+IF(C12&lt;0,50000,0)</f>
        <v>410000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18</v>
      </c>
      <c r="B5" s="251">
        <v>15.1</v>
      </c>
      <c r="C5" s="74">
        <v>41</v>
      </c>
      <c r="D5" s="74">
        <v>27</v>
      </c>
      <c r="E5" s="89"/>
      <c r="F5" s="73">
        <v>2</v>
      </c>
      <c r="G5" s="73">
        <v>8</v>
      </c>
      <c r="H5" s="76">
        <f t="shared" si="0"/>
        <v>1250000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30</v>
      </c>
      <c r="B6" s="251">
        <v>9.6</v>
      </c>
      <c r="C6" s="74">
        <v>35</v>
      </c>
      <c r="D6" s="74">
        <v>29</v>
      </c>
      <c r="E6" s="89"/>
      <c r="F6" s="12">
        <v>3</v>
      </c>
      <c r="G6" s="12">
        <v>6</v>
      </c>
      <c r="H6" s="76">
        <f t="shared" si="0"/>
        <v>950000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6" s="82" customFormat="1" ht="18" customHeight="1">
      <c r="A7" s="154" t="s">
        <v>8</v>
      </c>
      <c r="B7" s="251">
        <v>20.8</v>
      </c>
      <c r="C7" s="73">
        <v>33</v>
      </c>
      <c r="D7" s="74">
        <v>34</v>
      </c>
      <c r="E7" s="75"/>
      <c r="F7" s="73">
        <v>4</v>
      </c>
      <c r="G7" s="73">
        <v>5</v>
      </c>
      <c r="H7" s="76">
        <f t="shared" si="0"/>
        <v>770000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</row>
    <row r="8" spans="1:14" s="82" customFormat="1" ht="18" customHeight="1">
      <c r="A8" s="154" t="s">
        <v>32</v>
      </c>
      <c r="B8" s="251">
        <v>13.9</v>
      </c>
      <c r="C8" s="73">
        <v>32</v>
      </c>
      <c r="D8" s="93">
        <v>37</v>
      </c>
      <c r="E8" s="75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26</v>
      </c>
      <c r="B9" s="251">
        <v>24.4</v>
      </c>
      <c r="C9" s="73">
        <v>27</v>
      </c>
      <c r="D9" s="74">
        <v>39</v>
      </c>
      <c r="E9" s="75"/>
      <c r="F9" s="90">
        <v>6</v>
      </c>
      <c r="G9" s="90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34</v>
      </c>
      <c r="B10" s="251">
        <v>15.1</v>
      </c>
      <c r="C10" s="74">
        <v>26</v>
      </c>
      <c r="D10" s="93">
        <v>39</v>
      </c>
      <c r="E10" s="75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46</v>
      </c>
      <c r="B11" s="251">
        <v>20.8</v>
      </c>
      <c r="C11" s="73">
        <v>21</v>
      </c>
      <c r="D11" s="74">
        <v>44</v>
      </c>
      <c r="E11" s="75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/>
      <c r="B12" s="251"/>
      <c r="C12" s="73"/>
      <c r="D12" s="74"/>
      <c r="E12" s="75"/>
      <c r="F12" s="73"/>
      <c r="G12" s="73"/>
      <c r="H12" s="76">
        <f aca="true" t="shared" si="2" ref="H12:H27">I12</f>
        <v>0</v>
      </c>
      <c r="I12" s="77">
        <f aca="true" t="shared" si="3" ref="I12:I27">IF(E12&gt;0,$N$13,0)+IF(C12&gt;0,50000,0)+IF(C12&lt;0,50000,0)</f>
        <v>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/>
      <c r="B13" s="251"/>
      <c r="C13" s="73"/>
      <c r="D13" s="74"/>
      <c r="E13" s="75"/>
      <c r="F13" s="73"/>
      <c r="G13" s="73"/>
      <c r="H13" s="76">
        <f t="shared" si="2"/>
        <v>0</v>
      </c>
      <c r="I13" s="77">
        <f t="shared" si="3"/>
        <v>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/>
      <c r="B14" s="251"/>
      <c r="C14" s="73"/>
      <c r="D14" s="93"/>
      <c r="E14" s="75"/>
      <c r="F14" s="73"/>
      <c r="G14" s="73"/>
      <c r="H14" s="76">
        <f t="shared" si="2"/>
        <v>0</v>
      </c>
      <c r="I14" s="77">
        <f t="shared" si="3"/>
        <v>0</v>
      </c>
      <c r="J14" s="99"/>
      <c r="K14" s="95"/>
      <c r="L14" s="95"/>
      <c r="M14" s="100"/>
      <c r="N14" s="101"/>
    </row>
    <row r="15" spans="1:14" s="82" customFormat="1" ht="18" customHeight="1">
      <c r="A15" s="154"/>
      <c r="B15" s="251"/>
      <c r="C15" s="73"/>
      <c r="D15" s="74"/>
      <c r="E15" s="75"/>
      <c r="F15" s="73"/>
      <c r="G15" s="73"/>
      <c r="H15" s="76">
        <f t="shared" si="2"/>
        <v>0</v>
      </c>
      <c r="I15" s="77">
        <f t="shared" si="3"/>
        <v>0</v>
      </c>
      <c r="J15" s="102"/>
      <c r="K15" s="103"/>
      <c r="L15" s="103"/>
      <c r="M15" s="104"/>
      <c r="N15" s="105"/>
    </row>
    <row r="16" spans="1:9" s="82" customFormat="1" ht="18" customHeight="1">
      <c r="A16" s="154"/>
      <c r="B16" s="251"/>
      <c r="C16" s="74"/>
      <c r="D16" s="74"/>
      <c r="E16" s="89"/>
      <c r="F16" s="12"/>
      <c r="G16" s="12"/>
      <c r="H16" s="76">
        <f t="shared" si="2"/>
        <v>0</v>
      </c>
      <c r="I16" s="77">
        <f t="shared" si="3"/>
        <v>0</v>
      </c>
    </row>
    <row r="17" spans="1:13" s="82" customFormat="1" ht="18" customHeight="1">
      <c r="A17" s="154"/>
      <c r="B17" s="251"/>
      <c r="C17" s="12"/>
      <c r="D17" s="93"/>
      <c r="E17" s="89"/>
      <c r="F17" s="12"/>
      <c r="G17" s="12"/>
      <c r="H17" s="76">
        <f t="shared" si="2"/>
        <v>0</v>
      </c>
      <c r="I17" s="77">
        <f t="shared" si="3"/>
        <v>0</v>
      </c>
      <c r="J17" s="87"/>
      <c r="K17" s="87"/>
      <c r="L17" s="87"/>
      <c r="M17" s="88"/>
    </row>
    <row r="18" spans="1:14" s="82" customFormat="1" ht="18" customHeight="1">
      <c r="A18" s="154"/>
      <c r="B18" s="251"/>
      <c r="C18" s="74"/>
      <c r="D18" s="93"/>
      <c r="E18" s="75"/>
      <c r="F18" s="73"/>
      <c r="G18" s="73"/>
      <c r="H18" s="76">
        <f t="shared" si="2"/>
        <v>0</v>
      </c>
      <c r="I18" s="77">
        <f t="shared" si="3"/>
        <v>0</v>
      </c>
      <c r="J18" s="104"/>
      <c r="K18" s="104"/>
      <c r="L18" s="104"/>
      <c r="M18" s="104"/>
      <c r="N18" s="104"/>
    </row>
    <row r="19" spans="1:14" s="82" customFormat="1" ht="18" customHeight="1">
      <c r="A19" s="154"/>
      <c r="B19" s="251"/>
      <c r="C19" s="73"/>
      <c r="D19" s="74"/>
      <c r="E19" s="89"/>
      <c r="F19" s="73"/>
      <c r="G19" s="73"/>
      <c r="H19" s="76">
        <f t="shared" si="2"/>
        <v>0</v>
      </c>
      <c r="I19" s="77">
        <f t="shared" si="3"/>
        <v>0</v>
      </c>
      <c r="J19" s="104"/>
      <c r="K19" s="104"/>
      <c r="L19" s="104"/>
      <c r="M19" s="105"/>
      <c r="N19" s="105"/>
    </row>
    <row r="20" spans="1:14" s="57" customFormat="1" ht="18" customHeight="1">
      <c r="A20" s="154"/>
      <c r="B20" s="251"/>
      <c r="C20" s="73"/>
      <c r="D20" s="74"/>
      <c r="E20" s="75"/>
      <c r="F20" s="12"/>
      <c r="G20" s="12"/>
      <c r="H20" s="76">
        <f t="shared" si="2"/>
        <v>0</v>
      </c>
      <c r="I20" s="77">
        <f t="shared" si="3"/>
        <v>0</v>
      </c>
      <c r="J20" s="104"/>
      <c r="K20" s="104"/>
      <c r="L20" s="104"/>
      <c r="M20" s="105"/>
      <c r="N20" s="105"/>
    </row>
    <row r="21" spans="1:14" s="57" customFormat="1" ht="18" customHeight="1">
      <c r="A21" s="154"/>
      <c r="B21" s="251"/>
      <c r="C21" s="93"/>
      <c r="D21" s="74"/>
      <c r="E21" s="75"/>
      <c r="F21" s="12"/>
      <c r="G21" s="12"/>
      <c r="H21" s="76">
        <f t="shared" si="2"/>
        <v>0</v>
      </c>
      <c r="I21" s="77">
        <f t="shared" si="3"/>
        <v>0</v>
      </c>
      <c r="J21" s="104"/>
      <c r="K21" s="104"/>
      <c r="L21" s="104"/>
      <c r="M21" s="105"/>
      <c r="N21" s="105"/>
    </row>
    <row r="22" spans="1:14" s="57" customFormat="1" ht="18" customHeight="1">
      <c r="A22" s="154"/>
      <c r="B22" s="251"/>
      <c r="C22" s="12"/>
      <c r="D22" s="74"/>
      <c r="E22" s="89"/>
      <c r="F22" s="12"/>
      <c r="G22" s="12"/>
      <c r="H22" s="76">
        <f t="shared" si="2"/>
        <v>0</v>
      </c>
      <c r="I22" s="77">
        <f t="shared" si="3"/>
        <v>0</v>
      </c>
      <c r="J22" s="104"/>
      <c r="K22" s="104"/>
      <c r="L22" s="104"/>
      <c r="M22" s="105"/>
      <c r="N22" s="105"/>
    </row>
    <row r="23" spans="1:14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  <c r="J23" s="209"/>
      <c r="K23" s="209"/>
      <c r="L23" s="210"/>
      <c r="M23" s="211"/>
      <c r="N23" s="211"/>
    </row>
    <row r="24" spans="1:14" s="57" customFormat="1" ht="18" customHeight="1">
      <c r="A24" s="319"/>
      <c r="B24" s="320"/>
      <c r="C24" s="73"/>
      <c r="D24" s="93"/>
      <c r="E24" s="75"/>
      <c r="F24" s="12"/>
      <c r="G24" s="12"/>
      <c r="H24" s="76">
        <f t="shared" si="2"/>
        <v>0</v>
      </c>
      <c r="I24" s="77">
        <f t="shared" si="3"/>
        <v>0</v>
      </c>
      <c r="J24" s="209"/>
      <c r="K24" s="209"/>
      <c r="L24" s="210"/>
      <c r="M24" s="211"/>
      <c r="N24" s="211"/>
    </row>
    <row r="25" spans="1:14" s="57" customFormat="1" ht="18" customHeight="1">
      <c r="A25" s="319"/>
      <c r="B25" s="320"/>
      <c r="C25" s="73"/>
      <c r="D25" s="93"/>
      <c r="E25" s="75"/>
      <c r="F25" s="12"/>
      <c r="G25" s="12"/>
      <c r="H25" s="76">
        <f t="shared" si="2"/>
        <v>0</v>
      </c>
      <c r="I25" s="77">
        <f t="shared" si="3"/>
        <v>0</v>
      </c>
      <c r="J25" s="104"/>
      <c r="K25" s="104"/>
      <c r="L25" s="104"/>
      <c r="M25" s="105"/>
      <c r="N25" s="105"/>
    </row>
    <row r="26" spans="1:14" s="57" customFormat="1" ht="18" customHeight="1">
      <c r="A26" s="319"/>
      <c r="B26" s="320"/>
      <c r="C26" s="74"/>
      <c r="D26" s="74"/>
      <c r="E26" s="89"/>
      <c r="F26" s="73"/>
      <c r="G26" s="73"/>
      <c r="H26" s="76">
        <f t="shared" si="2"/>
        <v>0</v>
      </c>
      <c r="I26" s="77">
        <f t="shared" si="3"/>
        <v>0</v>
      </c>
      <c r="J26" s="104"/>
      <c r="K26" s="104"/>
      <c r="L26" s="104"/>
      <c r="M26" s="105"/>
      <c r="N26" s="105"/>
    </row>
    <row r="27" spans="1:14" s="57" customFormat="1" ht="18" customHeight="1">
      <c r="A27" s="319"/>
      <c r="B27" s="320"/>
      <c r="C27" s="73"/>
      <c r="D27" s="74"/>
      <c r="E27" s="75"/>
      <c r="F27" s="73"/>
      <c r="G27" s="73"/>
      <c r="H27" s="76">
        <f t="shared" si="2"/>
        <v>0</v>
      </c>
      <c r="I27" s="77">
        <f t="shared" si="3"/>
        <v>0</v>
      </c>
      <c r="J27" s="104"/>
      <c r="K27" s="104"/>
      <c r="L27" s="104"/>
      <c r="M27" s="105"/>
      <c r="N27" s="105"/>
    </row>
    <row r="28" spans="1:9" ht="24" customHeight="1" thickBot="1">
      <c r="A28" s="1"/>
      <c r="B28" s="3"/>
      <c r="C28" s="107"/>
      <c r="D28" s="108">
        <f>SUM(D4:D27)</f>
        <v>278</v>
      </c>
      <c r="E28" s="107"/>
      <c r="F28" s="3"/>
      <c r="G28" s="109">
        <f>SUM(G4:G27)</f>
        <v>39</v>
      </c>
      <c r="H28" s="109">
        <f>SUM(H4:H27)</f>
        <v>6760000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269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268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108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32</v>
      </c>
      <c r="B4" s="251">
        <v>14.5</v>
      </c>
      <c r="C4" s="73">
        <v>69</v>
      </c>
      <c r="D4" s="74">
        <v>30</v>
      </c>
      <c r="E4" s="75"/>
      <c r="F4" s="73">
        <v>1</v>
      </c>
      <c r="G4" s="73">
        <v>10</v>
      </c>
      <c r="H4" s="76">
        <f aca="true" t="shared" si="0" ref="H4:H11">N4+I4</f>
        <v>2050000</v>
      </c>
      <c r="I4" s="77">
        <f aca="true" t="shared" si="1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2000000</v>
      </c>
    </row>
    <row r="5" spans="1:14" s="82" customFormat="1" ht="18" customHeight="1">
      <c r="A5" s="154" t="s">
        <v>12</v>
      </c>
      <c r="B5" s="251">
        <v>18.1</v>
      </c>
      <c r="C5" s="73">
        <v>70</v>
      </c>
      <c r="D5" s="74">
        <v>27</v>
      </c>
      <c r="E5" s="75"/>
      <c r="F5" s="73">
        <v>2</v>
      </c>
      <c r="G5" s="73">
        <v>8</v>
      </c>
      <c r="H5" s="76">
        <f t="shared" si="0"/>
        <v>1650000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1600000</v>
      </c>
    </row>
    <row r="6" spans="1:14" s="82" customFormat="1" ht="18" customHeight="1">
      <c r="A6" s="154" t="s">
        <v>34</v>
      </c>
      <c r="B6" s="251">
        <v>14.9</v>
      </c>
      <c r="C6" s="74">
        <v>76</v>
      </c>
      <c r="D6" s="74">
        <v>30</v>
      </c>
      <c r="E6" s="75"/>
      <c r="F6" s="12">
        <v>3</v>
      </c>
      <c r="G6" s="12">
        <v>6</v>
      </c>
      <c r="H6" s="76">
        <f t="shared" si="0"/>
        <v>1250000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1200000</v>
      </c>
    </row>
    <row r="7" spans="1:18" s="82" customFormat="1" ht="18" customHeight="1">
      <c r="A7" s="154" t="s">
        <v>18</v>
      </c>
      <c r="B7" s="251">
        <v>15.1</v>
      </c>
      <c r="C7" s="73">
        <v>76</v>
      </c>
      <c r="D7" s="93">
        <v>32</v>
      </c>
      <c r="E7" s="75"/>
      <c r="F7" s="73">
        <v>4</v>
      </c>
      <c r="G7" s="73">
        <v>5</v>
      </c>
      <c r="H7" s="76">
        <f t="shared" si="0"/>
        <v>1010000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960000</v>
      </c>
      <c r="O7" s="87"/>
      <c r="P7" s="87"/>
      <c r="Q7" s="87"/>
      <c r="R7" s="88"/>
    </row>
    <row r="8" spans="1:14" s="82" customFormat="1" ht="18" customHeight="1">
      <c r="A8" s="154" t="s">
        <v>30</v>
      </c>
      <c r="B8" s="251">
        <v>9.4</v>
      </c>
      <c r="C8" s="74">
        <v>78</v>
      </c>
      <c r="D8" s="74">
        <v>30</v>
      </c>
      <c r="E8" s="75"/>
      <c r="F8" s="73">
        <v>5</v>
      </c>
      <c r="G8" s="73">
        <v>4</v>
      </c>
      <c r="H8" s="76">
        <f t="shared" si="0"/>
        <v>850000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800000</v>
      </c>
    </row>
    <row r="9" spans="1:14" s="82" customFormat="1" ht="18" customHeight="1">
      <c r="A9" s="154" t="s">
        <v>42</v>
      </c>
      <c r="B9" s="251">
        <v>18</v>
      </c>
      <c r="C9" s="73">
        <v>78</v>
      </c>
      <c r="D9" s="74">
        <v>32</v>
      </c>
      <c r="E9" s="75">
        <v>5.02</v>
      </c>
      <c r="F9" s="90">
        <v>6</v>
      </c>
      <c r="G9" s="90">
        <v>3</v>
      </c>
      <c r="H9" s="76">
        <f t="shared" si="0"/>
        <v>1170000</v>
      </c>
      <c r="I9" s="77">
        <f t="shared" si="1"/>
        <v>530000</v>
      </c>
      <c r="J9" s="83" t="s">
        <v>91</v>
      </c>
      <c r="K9" s="84"/>
      <c r="L9" s="85"/>
      <c r="M9" s="86">
        <v>3</v>
      </c>
      <c r="N9" s="76">
        <f>N12*8%</f>
        <v>640000</v>
      </c>
    </row>
    <row r="10" spans="1:14" s="82" customFormat="1" ht="18" customHeight="1">
      <c r="A10" s="154" t="s">
        <v>36</v>
      </c>
      <c r="B10" s="251">
        <v>19.4</v>
      </c>
      <c r="C10" s="73">
        <v>80</v>
      </c>
      <c r="D10" s="93">
        <v>35</v>
      </c>
      <c r="E10" s="75"/>
      <c r="F10" s="73">
        <v>7</v>
      </c>
      <c r="G10" s="73">
        <v>2</v>
      </c>
      <c r="H10" s="76">
        <f t="shared" si="0"/>
        <v>530000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480000</v>
      </c>
    </row>
    <row r="11" spans="1:14" s="82" customFormat="1" ht="18" customHeight="1">
      <c r="A11" s="154" t="s">
        <v>52</v>
      </c>
      <c r="B11" s="251">
        <v>12.6</v>
      </c>
      <c r="C11" s="73">
        <v>82</v>
      </c>
      <c r="D11" s="74">
        <v>37</v>
      </c>
      <c r="E11" s="89"/>
      <c r="F11" s="73">
        <v>8</v>
      </c>
      <c r="G11" s="73">
        <v>1</v>
      </c>
      <c r="H11" s="76">
        <f t="shared" si="0"/>
        <v>370000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320000</v>
      </c>
    </row>
    <row r="12" spans="1:14" s="82" customFormat="1" ht="18" customHeight="1">
      <c r="A12" s="154" t="s">
        <v>8</v>
      </c>
      <c r="B12" s="251">
        <v>20.7</v>
      </c>
      <c r="C12" s="73">
        <v>82</v>
      </c>
      <c r="D12" s="74">
        <v>36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8000000</v>
      </c>
    </row>
    <row r="13" spans="1:14" s="82" customFormat="1" ht="18" customHeight="1">
      <c r="A13" s="154" t="s">
        <v>28</v>
      </c>
      <c r="B13" s="251">
        <v>12.2</v>
      </c>
      <c r="C13" s="73">
        <v>83</v>
      </c>
      <c r="D13" s="74">
        <v>33</v>
      </c>
      <c r="E13" s="89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480000</v>
      </c>
    </row>
    <row r="14" spans="1:14" s="82" customFormat="1" ht="18" customHeight="1">
      <c r="A14" s="154" t="s">
        <v>26</v>
      </c>
      <c r="B14" s="251">
        <v>24.3</v>
      </c>
      <c r="C14" s="73">
        <v>84</v>
      </c>
      <c r="D14" s="74">
        <v>39</v>
      </c>
      <c r="E14" s="89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46</v>
      </c>
      <c r="B15" s="251">
        <v>20.7</v>
      </c>
      <c r="C15" s="74">
        <v>88</v>
      </c>
      <c r="D15" s="74">
        <v>39</v>
      </c>
      <c r="E15" s="89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50</v>
      </c>
      <c r="B16" s="251">
        <v>23.8</v>
      </c>
      <c r="C16" s="74">
        <v>93</v>
      </c>
      <c r="D16" s="74">
        <v>35</v>
      </c>
      <c r="E16" s="75"/>
      <c r="F16" s="12"/>
      <c r="G16" s="12"/>
      <c r="H16" s="76">
        <f t="shared" si="2"/>
        <v>50000</v>
      </c>
      <c r="I16" s="77">
        <f t="shared" si="3"/>
        <v>50000</v>
      </c>
    </row>
    <row r="17" spans="1:13" s="82" customFormat="1" ht="18" customHeight="1">
      <c r="A17" s="154"/>
      <c r="B17" s="251"/>
      <c r="C17" s="73"/>
      <c r="D17" s="74"/>
      <c r="E17" s="75"/>
      <c r="F17" s="12"/>
      <c r="G17" s="12"/>
      <c r="H17" s="76">
        <f t="shared" si="2"/>
        <v>0</v>
      </c>
      <c r="I17" s="77">
        <f t="shared" si="3"/>
        <v>0</v>
      </c>
      <c r="J17" s="87"/>
      <c r="K17" s="87"/>
      <c r="L17" s="87"/>
      <c r="M17" s="88"/>
    </row>
    <row r="18" spans="1:13" s="82" customFormat="1" ht="18" customHeight="1">
      <c r="A18" s="154"/>
      <c r="B18" s="251"/>
      <c r="C18" s="73"/>
      <c r="D18" s="93"/>
      <c r="E18" s="75"/>
      <c r="F18" s="73"/>
      <c r="G18" s="73"/>
      <c r="H18" s="76">
        <f t="shared" si="2"/>
        <v>0</v>
      </c>
      <c r="I18" s="77">
        <f t="shared" si="3"/>
        <v>0</v>
      </c>
      <c r="J18" s="88"/>
      <c r="K18" s="88"/>
      <c r="L18" s="88"/>
      <c r="M18" s="88"/>
    </row>
    <row r="19" spans="1:13" s="82" customFormat="1" ht="18" customHeight="1">
      <c r="A19" s="154"/>
      <c r="B19" s="251"/>
      <c r="C19" s="93"/>
      <c r="D19" s="93"/>
      <c r="E19" s="75"/>
      <c r="F19" s="73"/>
      <c r="G19" s="73"/>
      <c r="H19" s="76">
        <f t="shared" si="2"/>
        <v>0</v>
      </c>
      <c r="I19" s="77">
        <f t="shared" si="3"/>
        <v>0</v>
      </c>
      <c r="J19" s="88"/>
      <c r="K19" s="88"/>
      <c r="L19" s="88"/>
      <c r="M19" s="88"/>
    </row>
    <row r="20" spans="1:9" s="57" customFormat="1" ht="18" customHeight="1">
      <c r="A20" s="154"/>
      <c r="B20" s="251"/>
      <c r="C20" s="73"/>
      <c r="D20" s="74"/>
      <c r="E20" s="89"/>
      <c r="F20" s="12"/>
      <c r="G20" s="12"/>
      <c r="H20" s="76">
        <f t="shared" si="2"/>
        <v>0</v>
      </c>
      <c r="I20" s="77">
        <f t="shared" si="3"/>
        <v>0</v>
      </c>
    </row>
    <row r="21" spans="1:9" s="57" customFormat="1" ht="18" customHeight="1">
      <c r="A21" s="154"/>
      <c r="B21" s="251"/>
      <c r="C21" s="74"/>
      <c r="D21" s="74"/>
      <c r="E21" s="75"/>
      <c r="F21" s="12"/>
      <c r="G21" s="12"/>
      <c r="H21" s="76">
        <f t="shared" si="2"/>
        <v>0</v>
      </c>
      <c r="I21" s="77">
        <f t="shared" si="3"/>
        <v>0</v>
      </c>
    </row>
    <row r="22" spans="1:9" s="57" customFormat="1" ht="18" customHeight="1">
      <c r="A22" s="154"/>
      <c r="B22" s="251"/>
      <c r="C22" s="12"/>
      <c r="D22" s="74"/>
      <c r="E22" s="75"/>
      <c r="F22" s="12"/>
      <c r="G22" s="12"/>
      <c r="H22" s="76">
        <f t="shared" si="2"/>
        <v>0</v>
      </c>
      <c r="I22" s="77">
        <f t="shared" si="3"/>
        <v>0</v>
      </c>
    </row>
    <row r="23" spans="1:9" s="57" customFormat="1" ht="18" customHeight="1">
      <c r="A23" s="154"/>
      <c r="B23" s="251"/>
      <c r="C23" s="12"/>
      <c r="D23" s="93"/>
      <c r="E23" s="75"/>
      <c r="F23" s="12"/>
      <c r="G23" s="12"/>
      <c r="H23" s="76">
        <f t="shared" si="2"/>
        <v>0</v>
      </c>
      <c r="I23" s="77">
        <f t="shared" si="3"/>
        <v>0</v>
      </c>
    </row>
    <row r="24" spans="1:9" s="57" customFormat="1" ht="18" customHeight="1">
      <c r="A24" s="154"/>
      <c r="B24" s="251"/>
      <c r="C24" s="73"/>
      <c r="D24" s="93"/>
      <c r="E24" s="89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3"/>
      <c r="D25" s="74"/>
      <c r="E25" s="89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54"/>
      <c r="B26" s="251"/>
      <c r="C26" s="74"/>
      <c r="D26" s="93"/>
      <c r="E26" s="89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54"/>
      <c r="B27" s="251"/>
      <c r="C27" s="73"/>
      <c r="D27" s="93"/>
      <c r="E27" s="75"/>
      <c r="F27" s="73"/>
      <c r="G27" s="73"/>
      <c r="H27" s="76">
        <f t="shared" si="2"/>
        <v>0</v>
      </c>
      <c r="I27" s="77">
        <f t="shared" si="3"/>
        <v>0</v>
      </c>
    </row>
    <row r="28" spans="1:9" ht="24" customHeight="1">
      <c r="A28" s="1"/>
      <c r="B28" s="3"/>
      <c r="C28" s="107"/>
      <c r="D28" s="108">
        <f>SUM(D4:D27)</f>
        <v>435</v>
      </c>
      <c r="E28" s="107"/>
      <c r="F28" s="3"/>
      <c r="G28" s="109">
        <f>SUM(G4:G27)</f>
        <v>39</v>
      </c>
      <c r="H28" s="109">
        <f>SUM(H4:H27)</f>
        <v>9130000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tr">
        <f>'Tourplan m. sløjfer'!D25</f>
        <v>The Greenbrier Classic 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52</v>
      </c>
      <c r="B4" s="251">
        <v>13.2</v>
      </c>
      <c r="C4" s="73">
        <v>38</v>
      </c>
      <c r="D4" s="93">
        <v>29</v>
      </c>
      <c r="E4" s="75"/>
      <c r="F4" s="73">
        <v>1</v>
      </c>
      <c r="G4" s="73">
        <v>10</v>
      </c>
      <c r="H4" s="76">
        <f aca="true" t="shared" si="0" ref="H4:H11">N4+I4</f>
        <v>1550000</v>
      </c>
      <c r="I4" s="77">
        <f aca="true" t="shared" si="1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36</v>
      </c>
      <c r="B5" s="251">
        <v>19.8</v>
      </c>
      <c r="C5" s="73">
        <v>37</v>
      </c>
      <c r="D5" s="93">
        <v>34</v>
      </c>
      <c r="E5" s="89"/>
      <c r="F5" s="73">
        <v>2</v>
      </c>
      <c r="G5" s="73">
        <v>8</v>
      </c>
      <c r="H5" s="76">
        <f t="shared" si="0"/>
        <v>1250000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48</v>
      </c>
      <c r="B6" s="251">
        <v>6.4</v>
      </c>
      <c r="C6" s="73">
        <v>35</v>
      </c>
      <c r="D6" s="74">
        <v>29</v>
      </c>
      <c r="E6" s="89">
        <v>2.13</v>
      </c>
      <c r="F6" s="12">
        <v>3</v>
      </c>
      <c r="G6" s="12">
        <v>6</v>
      </c>
      <c r="H6" s="76">
        <f t="shared" si="0"/>
        <v>1310000</v>
      </c>
      <c r="I6" s="77">
        <f t="shared" si="1"/>
        <v>410000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18</v>
      </c>
      <c r="B7" s="251">
        <v>15.1</v>
      </c>
      <c r="C7" s="74">
        <v>35</v>
      </c>
      <c r="D7" s="74">
        <v>31</v>
      </c>
      <c r="E7" s="75"/>
      <c r="F7" s="73">
        <v>4</v>
      </c>
      <c r="G7" s="73">
        <v>5</v>
      </c>
      <c r="H7" s="76">
        <f t="shared" si="0"/>
        <v>770000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38</v>
      </c>
      <c r="B8" s="251">
        <v>15.4</v>
      </c>
      <c r="C8" s="12">
        <v>35</v>
      </c>
      <c r="D8" s="74">
        <v>33</v>
      </c>
      <c r="E8" s="75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32</v>
      </c>
      <c r="B9" s="251">
        <v>14.5</v>
      </c>
      <c r="C9" s="73">
        <v>33</v>
      </c>
      <c r="D9" s="74">
        <v>35</v>
      </c>
      <c r="E9" s="89"/>
      <c r="F9" s="90">
        <v>6</v>
      </c>
      <c r="G9" s="90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44</v>
      </c>
      <c r="B10" s="251">
        <v>15.1</v>
      </c>
      <c r="C10" s="73">
        <v>32</v>
      </c>
      <c r="D10" s="74">
        <v>32</v>
      </c>
      <c r="E10" s="75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26</v>
      </c>
      <c r="B11" s="251">
        <v>24.3</v>
      </c>
      <c r="C11" s="73">
        <v>32</v>
      </c>
      <c r="D11" s="93">
        <v>34</v>
      </c>
      <c r="E11" s="89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10</v>
      </c>
      <c r="B12" s="251">
        <v>13.8</v>
      </c>
      <c r="C12" s="73">
        <v>31</v>
      </c>
      <c r="D12" s="93">
        <v>34</v>
      </c>
      <c r="E12" s="89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16</v>
      </c>
      <c r="B13" s="251">
        <v>19.3</v>
      </c>
      <c r="C13" s="73">
        <v>31</v>
      </c>
      <c r="D13" s="74">
        <v>38</v>
      </c>
      <c r="E13" s="75">
        <v>4.37</v>
      </c>
      <c r="F13" s="73"/>
      <c r="G13" s="73"/>
      <c r="H13" s="76">
        <v>150000</v>
      </c>
      <c r="I13" s="77">
        <f t="shared" si="3"/>
        <v>410000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171</v>
      </c>
      <c r="B14" s="251">
        <v>11.4</v>
      </c>
      <c r="C14" s="12">
        <v>30</v>
      </c>
      <c r="D14" s="74">
        <v>35</v>
      </c>
      <c r="E14" s="75" t="s">
        <v>103</v>
      </c>
      <c r="F14" s="73"/>
      <c r="G14" s="73"/>
      <c r="H14" s="76">
        <v>250000</v>
      </c>
      <c r="I14" s="77">
        <f t="shared" si="3"/>
        <v>410000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30</v>
      </c>
      <c r="B15" s="251">
        <v>9.4</v>
      </c>
      <c r="C15" s="73">
        <v>25</v>
      </c>
      <c r="D15" s="93">
        <v>36</v>
      </c>
      <c r="E15" s="89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42</v>
      </c>
      <c r="B16" s="251">
        <v>18</v>
      </c>
      <c r="C16" s="74">
        <v>25</v>
      </c>
      <c r="D16" s="93">
        <v>37</v>
      </c>
      <c r="E16" s="89"/>
      <c r="F16" s="12"/>
      <c r="G16" s="12"/>
      <c r="H16" s="76">
        <f t="shared" si="2"/>
        <v>50000</v>
      </c>
      <c r="I16" s="77">
        <f t="shared" si="3"/>
        <v>50000</v>
      </c>
    </row>
    <row r="17" spans="1:18" s="82" customFormat="1" ht="18" customHeight="1">
      <c r="A17" s="154" t="s">
        <v>50</v>
      </c>
      <c r="B17" s="251">
        <v>23.8</v>
      </c>
      <c r="C17" s="73">
        <v>25</v>
      </c>
      <c r="D17" s="74">
        <v>39</v>
      </c>
      <c r="E17" s="75"/>
      <c r="F17" s="12"/>
      <c r="G17" s="12"/>
      <c r="H17" s="76">
        <f t="shared" si="2"/>
        <v>50000</v>
      </c>
      <c r="I17" s="77">
        <f t="shared" si="3"/>
        <v>50000</v>
      </c>
      <c r="O17" s="87"/>
      <c r="P17" s="87"/>
      <c r="Q17" s="87"/>
      <c r="R17" s="88"/>
    </row>
    <row r="18" spans="1:12" s="82" customFormat="1" ht="18" customHeight="1">
      <c r="A18" s="154" t="s">
        <v>24</v>
      </c>
      <c r="B18" s="251">
        <v>16.2</v>
      </c>
      <c r="C18" s="74">
        <v>24</v>
      </c>
      <c r="D18" s="93">
        <v>36</v>
      </c>
      <c r="E18" s="75"/>
      <c r="F18" s="73"/>
      <c r="G18" s="73"/>
      <c r="H18" s="76">
        <f t="shared" si="2"/>
        <v>50000</v>
      </c>
      <c r="I18" s="77">
        <f t="shared" si="3"/>
        <v>50000</v>
      </c>
      <c r="J18" s="88"/>
      <c r="K18" s="88"/>
      <c r="L18" s="88"/>
    </row>
    <row r="19" spans="1:12" s="82" customFormat="1" ht="18" customHeight="1">
      <c r="A19" s="154" t="s">
        <v>34</v>
      </c>
      <c r="B19" s="251">
        <v>14.9</v>
      </c>
      <c r="C19" s="73">
        <v>21</v>
      </c>
      <c r="D19" s="74">
        <v>40</v>
      </c>
      <c r="E19" s="75"/>
      <c r="F19" s="73"/>
      <c r="G19" s="73"/>
      <c r="H19" s="76">
        <f t="shared" si="2"/>
        <v>50000</v>
      </c>
      <c r="I19" s="77">
        <f t="shared" si="3"/>
        <v>50000</v>
      </c>
      <c r="J19" s="88"/>
      <c r="K19" s="88"/>
      <c r="L19" s="88"/>
    </row>
    <row r="20" spans="1:9" s="57" customFormat="1" ht="18" customHeight="1">
      <c r="A20" s="154"/>
      <c r="B20" s="251"/>
      <c r="C20" s="73"/>
      <c r="D20" s="74"/>
      <c r="E20" s="89"/>
      <c r="F20" s="12"/>
      <c r="G20" s="12"/>
      <c r="H20" s="76">
        <f t="shared" si="2"/>
        <v>0</v>
      </c>
      <c r="I20" s="77">
        <f t="shared" si="3"/>
        <v>0</v>
      </c>
    </row>
    <row r="21" spans="1:9" s="57" customFormat="1" ht="18" customHeight="1">
      <c r="A21" s="154"/>
      <c r="B21" s="251"/>
      <c r="C21" s="73"/>
      <c r="D21" s="74"/>
      <c r="E21" s="75"/>
      <c r="F21" s="12"/>
      <c r="G21" s="12"/>
      <c r="H21" s="76">
        <f t="shared" si="2"/>
        <v>0</v>
      </c>
      <c r="I21" s="77">
        <f t="shared" si="3"/>
        <v>0</v>
      </c>
    </row>
    <row r="22" spans="1:9" s="57" customFormat="1" ht="18" customHeight="1">
      <c r="A22" s="154"/>
      <c r="B22" s="251"/>
      <c r="C22" s="73"/>
      <c r="D22" s="74"/>
      <c r="E22" s="75"/>
      <c r="F22" s="12"/>
      <c r="G22" s="12"/>
      <c r="H22" s="76">
        <f t="shared" si="2"/>
        <v>0</v>
      </c>
      <c r="I22" s="77">
        <f t="shared" si="3"/>
        <v>0</v>
      </c>
    </row>
    <row r="23" spans="1:9" s="57" customFormat="1" ht="18" customHeight="1">
      <c r="A23" s="154"/>
      <c r="B23" s="251"/>
      <c r="C23" s="74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</row>
    <row r="24" spans="1:9" s="57" customFormat="1" ht="18" customHeight="1">
      <c r="A24" s="154"/>
      <c r="B24" s="251"/>
      <c r="C24" s="74"/>
      <c r="D24" s="74"/>
      <c r="E24" s="75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3"/>
      <c r="D25" s="93"/>
      <c r="E25" s="75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54"/>
      <c r="B26" s="251"/>
      <c r="C26" s="74"/>
      <c r="D26" s="74"/>
      <c r="E26" s="75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54"/>
      <c r="B27" s="251"/>
      <c r="C27" s="93"/>
      <c r="D27" s="74"/>
      <c r="E27" s="75"/>
      <c r="F27" s="73"/>
      <c r="G27" s="73"/>
      <c r="H27" s="76">
        <f t="shared" si="2"/>
        <v>0</v>
      </c>
      <c r="I27" s="77">
        <f t="shared" si="3"/>
        <v>0</v>
      </c>
    </row>
    <row r="28" spans="1:9" ht="24" customHeight="1">
      <c r="A28" s="1"/>
      <c r="B28" s="3"/>
      <c r="C28" s="107"/>
      <c r="D28" s="108">
        <f>SUM(D4:D27)</f>
        <v>552</v>
      </c>
      <c r="E28" s="107"/>
      <c r="F28" s="3"/>
      <c r="G28" s="109">
        <f>SUM(G4:G27)</f>
        <v>39</v>
      </c>
      <c r="H28" s="109">
        <f>SUM(H4:H27)</f>
        <v>7460000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tr">
        <f>'Tourplan m. sløjfer'!D24</f>
        <v>WGC-Bridgestone Invitational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262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38</v>
      </c>
      <c r="B4" s="465">
        <v>35</v>
      </c>
      <c r="C4" s="467">
        <v>60</v>
      </c>
      <c r="D4" s="74"/>
      <c r="E4" s="75"/>
      <c r="F4" s="454">
        <v>1</v>
      </c>
      <c r="G4" s="73">
        <v>10</v>
      </c>
      <c r="H4" s="76">
        <v>1250000</v>
      </c>
      <c r="I4" s="77">
        <f aca="true" t="shared" si="0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52</v>
      </c>
      <c r="B5" s="466"/>
      <c r="C5" s="467"/>
      <c r="D5" s="74"/>
      <c r="E5" s="75"/>
      <c r="F5" s="458"/>
      <c r="G5" s="73">
        <v>10</v>
      </c>
      <c r="H5" s="76">
        <v>1250000</v>
      </c>
      <c r="I5" s="77">
        <f t="shared" si="0"/>
        <v>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18</v>
      </c>
      <c r="B6" s="468">
        <v>36</v>
      </c>
      <c r="C6" s="467">
        <v>61</v>
      </c>
      <c r="D6" s="93"/>
      <c r="E6" s="89"/>
      <c r="F6" s="469">
        <v>2</v>
      </c>
      <c r="G6" s="12">
        <v>6</v>
      </c>
      <c r="H6" s="76">
        <v>950000</v>
      </c>
      <c r="I6" s="77">
        <f t="shared" si="0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32</v>
      </c>
      <c r="B7" s="466"/>
      <c r="C7" s="467"/>
      <c r="D7" s="74"/>
      <c r="E7" s="89"/>
      <c r="F7" s="470"/>
      <c r="G7" s="73">
        <v>6</v>
      </c>
      <c r="H7" s="76">
        <v>950000</v>
      </c>
      <c r="I7" s="77">
        <f t="shared" si="0"/>
        <v>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12</v>
      </c>
      <c r="B8" s="468">
        <v>37</v>
      </c>
      <c r="C8" s="467">
        <v>62</v>
      </c>
      <c r="D8" s="74"/>
      <c r="E8" s="75"/>
      <c r="F8" s="454">
        <v>3</v>
      </c>
      <c r="G8" s="73">
        <v>4</v>
      </c>
      <c r="H8" s="76">
        <v>650000</v>
      </c>
      <c r="I8" s="77">
        <f t="shared" si="0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14</v>
      </c>
      <c r="B9" s="466"/>
      <c r="C9" s="467"/>
      <c r="D9" s="93"/>
      <c r="E9" s="75"/>
      <c r="F9" s="458"/>
      <c r="G9" s="90">
        <v>4</v>
      </c>
      <c r="H9" s="76">
        <v>650000</v>
      </c>
      <c r="I9" s="77">
        <f t="shared" si="0"/>
        <v>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16</v>
      </c>
      <c r="B10" s="468">
        <v>42</v>
      </c>
      <c r="C10" s="467">
        <v>63</v>
      </c>
      <c r="D10" s="93"/>
      <c r="E10" s="75"/>
      <c r="F10" s="454">
        <v>4</v>
      </c>
      <c r="G10" s="73">
        <v>2</v>
      </c>
      <c r="H10" s="76">
        <v>350000</v>
      </c>
      <c r="I10" s="77">
        <f t="shared" si="0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20</v>
      </c>
      <c r="B11" s="466"/>
      <c r="C11" s="467"/>
      <c r="D11" s="93"/>
      <c r="E11" s="89"/>
      <c r="F11" s="458"/>
      <c r="G11" s="73">
        <v>2</v>
      </c>
      <c r="H11" s="76">
        <v>350000</v>
      </c>
      <c r="I11" s="77">
        <f t="shared" si="0"/>
        <v>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171</v>
      </c>
      <c r="B12" s="468">
        <v>38</v>
      </c>
      <c r="C12" s="467">
        <v>64</v>
      </c>
      <c r="D12" s="93"/>
      <c r="E12" s="89"/>
      <c r="F12" s="73"/>
      <c r="G12" s="73"/>
      <c r="H12" s="76">
        <f aca="true" t="shared" si="1" ref="H12:H27">I12</f>
        <v>50000</v>
      </c>
      <c r="I12" s="77">
        <f aca="true" t="shared" si="2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36</v>
      </c>
      <c r="B13" s="466"/>
      <c r="C13" s="467"/>
      <c r="D13" s="74"/>
      <c r="E13" s="89">
        <v>2.2</v>
      </c>
      <c r="F13" s="73"/>
      <c r="G13" s="73"/>
      <c r="H13" s="76">
        <f t="shared" si="1"/>
        <v>360000</v>
      </c>
      <c r="I13" s="77">
        <f t="shared" si="2"/>
        <v>360000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30</v>
      </c>
      <c r="B14" s="468">
        <v>41</v>
      </c>
      <c r="C14" s="467">
        <v>65</v>
      </c>
      <c r="D14" s="93"/>
      <c r="E14" s="75"/>
      <c r="F14" s="73"/>
      <c r="G14" s="73"/>
      <c r="H14" s="76">
        <f t="shared" si="1"/>
        <v>50000</v>
      </c>
      <c r="I14" s="77">
        <f t="shared" si="2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22</v>
      </c>
      <c r="B15" s="466"/>
      <c r="C15" s="467"/>
      <c r="D15" s="74"/>
      <c r="E15" s="75"/>
      <c r="F15" s="73"/>
      <c r="G15" s="73"/>
      <c r="H15" s="76">
        <v>50000</v>
      </c>
      <c r="I15" s="77">
        <f t="shared" si="2"/>
        <v>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48</v>
      </c>
      <c r="B16" s="468">
        <v>36</v>
      </c>
      <c r="C16" s="467">
        <v>67</v>
      </c>
      <c r="D16" s="74"/>
      <c r="E16" s="75"/>
      <c r="F16" s="12"/>
      <c r="G16" s="12"/>
      <c r="H16" s="76">
        <f t="shared" si="1"/>
        <v>50000</v>
      </c>
      <c r="I16" s="77">
        <f t="shared" si="2"/>
        <v>50000</v>
      </c>
    </row>
    <row r="17" spans="1:18" s="82" customFormat="1" ht="18" customHeight="1">
      <c r="A17" s="154" t="s">
        <v>50</v>
      </c>
      <c r="B17" s="466"/>
      <c r="C17" s="467"/>
      <c r="D17" s="74"/>
      <c r="E17" s="75"/>
      <c r="F17" s="12"/>
      <c r="G17" s="12"/>
      <c r="H17" s="76">
        <v>50000</v>
      </c>
      <c r="I17" s="77">
        <f t="shared" si="2"/>
        <v>0</v>
      </c>
      <c r="O17" s="87"/>
      <c r="P17" s="87"/>
      <c r="Q17" s="87"/>
      <c r="R17" s="88"/>
    </row>
    <row r="18" spans="1:18" s="82" customFormat="1" ht="18" customHeight="1">
      <c r="A18" s="154" t="s">
        <v>10</v>
      </c>
      <c r="B18" s="468">
        <v>35</v>
      </c>
      <c r="C18" s="467">
        <v>69</v>
      </c>
      <c r="D18" s="74"/>
      <c r="E18" s="89"/>
      <c r="F18" s="73"/>
      <c r="G18" s="73"/>
      <c r="H18" s="76">
        <f t="shared" si="1"/>
        <v>50000</v>
      </c>
      <c r="I18" s="77">
        <f t="shared" si="2"/>
        <v>50000</v>
      </c>
      <c r="J18" s="12" t="s">
        <v>101</v>
      </c>
      <c r="K18" s="12" t="s">
        <v>83</v>
      </c>
      <c r="L18" s="12"/>
      <c r="M18" s="12" t="s">
        <v>102</v>
      </c>
      <c r="N18" s="12"/>
      <c r="O18" s="88"/>
      <c r="P18" s="88"/>
      <c r="Q18" s="88"/>
      <c r="R18" s="88"/>
    </row>
    <row r="19" spans="1:18" s="82" customFormat="1" ht="18" customHeight="1">
      <c r="A19" s="154" t="s">
        <v>34</v>
      </c>
      <c r="B19" s="466"/>
      <c r="C19" s="467"/>
      <c r="D19" s="74"/>
      <c r="E19" s="75"/>
      <c r="F19" s="73"/>
      <c r="G19" s="73"/>
      <c r="H19" s="76">
        <v>50000</v>
      </c>
      <c r="I19" s="77">
        <f t="shared" si="2"/>
        <v>0</v>
      </c>
      <c r="J19" s="12">
        <v>1</v>
      </c>
      <c r="K19" s="12" t="s">
        <v>103</v>
      </c>
      <c r="L19" s="12">
        <v>10</v>
      </c>
      <c r="M19" s="76" t="s">
        <v>103</v>
      </c>
      <c r="N19" s="76">
        <f>N12*20%</f>
        <v>1200000</v>
      </c>
      <c r="O19" s="88"/>
      <c r="P19" s="88"/>
      <c r="Q19" s="88"/>
      <c r="R19" s="88"/>
    </row>
    <row r="20" spans="1:14" s="57" customFormat="1" ht="18" customHeight="1">
      <c r="A20" s="154" t="s">
        <v>26</v>
      </c>
      <c r="B20" s="468">
        <v>35</v>
      </c>
      <c r="C20" s="467">
        <v>71</v>
      </c>
      <c r="D20" s="74"/>
      <c r="E20" s="75"/>
      <c r="F20" s="12"/>
      <c r="G20" s="12"/>
      <c r="H20" s="76">
        <f t="shared" si="1"/>
        <v>50000</v>
      </c>
      <c r="I20" s="77">
        <f t="shared" si="2"/>
        <v>50000</v>
      </c>
      <c r="J20" s="12">
        <v>2</v>
      </c>
      <c r="K20" s="12" t="s">
        <v>103</v>
      </c>
      <c r="L20" s="12">
        <v>6</v>
      </c>
      <c r="M20" s="76" t="s">
        <v>103</v>
      </c>
      <c r="N20" s="76">
        <f>N12*15%</f>
        <v>900000</v>
      </c>
    </row>
    <row r="21" spans="1:14" s="57" customFormat="1" ht="18" customHeight="1">
      <c r="A21" s="154" t="s">
        <v>44</v>
      </c>
      <c r="B21" s="466"/>
      <c r="C21" s="467"/>
      <c r="D21" s="74"/>
      <c r="E21" s="75"/>
      <c r="F21" s="12"/>
      <c r="G21" s="12"/>
      <c r="H21" s="76">
        <v>50000</v>
      </c>
      <c r="I21" s="77">
        <f t="shared" si="2"/>
        <v>0</v>
      </c>
      <c r="J21" s="12">
        <v>3</v>
      </c>
      <c r="K21" s="12" t="s">
        <v>103</v>
      </c>
      <c r="L21" s="12">
        <v>4</v>
      </c>
      <c r="M21" s="76" t="s">
        <v>103</v>
      </c>
      <c r="N21" s="76">
        <f>N12*10%</f>
        <v>600000</v>
      </c>
    </row>
    <row r="22" spans="1:14" s="57" customFormat="1" ht="18" customHeight="1">
      <c r="A22" s="154" t="s">
        <v>28</v>
      </c>
      <c r="B22" s="468">
        <v>37</v>
      </c>
      <c r="C22" s="467">
        <v>71</v>
      </c>
      <c r="D22" s="74"/>
      <c r="E22" s="89"/>
      <c r="F22" s="12"/>
      <c r="G22" s="12"/>
      <c r="H22" s="76">
        <f t="shared" si="1"/>
        <v>50000</v>
      </c>
      <c r="I22" s="77">
        <f t="shared" si="2"/>
        <v>50000</v>
      </c>
      <c r="J22" s="12">
        <v>4</v>
      </c>
      <c r="K22" s="12" t="s">
        <v>103</v>
      </c>
      <c r="L22" s="12">
        <v>2</v>
      </c>
      <c r="M22" s="76" t="s">
        <v>103</v>
      </c>
      <c r="N22" s="76">
        <f>N12*5%</f>
        <v>300000</v>
      </c>
    </row>
    <row r="23" spans="1:14" s="57" customFormat="1" ht="18" customHeight="1">
      <c r="A23" s="154" t="s">
        <v>42</v>
      </c>
      <c r="B23" s="466"/>
      <c r="C23" s="467"/>
      <c r="D23" s="74"/>
      <c r="E23" s="75"/>
      <c r="F23" s="12"/>
      <c r="G23" s="12"/>
      <c r="H23" s="76">
        <v>50000</v>
      </c>
      <c r="I23" s="77">
        <f t="shared" si="2"/>
        <v>0</v>
      </c>
      <c r="L23" s="114"/>
      <c r="M23" s="115"/>
      <c r="N23" s="115"/>
    </row>
    <row r="24" spans="1:14" s="57" customFormat="1" ht="18" customHeight="1">
      <c r="A24" s="311"/>
      <c r="B24" s="273"/>
      <c r="C24" s="272"/>
      <c r="D24" s="93"/>
      <c r="E24" s="89"/>
      <c r="F24" s="12"/>
      <c r="G24" s="12"/>
      <c r="H24" s="76">
        <f t="shared" si="1"/>
        <v>0</v>
      </c>
      <c r="I24" s="77">
        <f t="shared" si="2"/>
        <v>0</v>
      </c>
      <c r="L24" s="114"/>
      <c r="M24" s="115"/>
      <c r="N24" s="115"/>
    </row>
    <row r="25" spans="1:14" s="57" customFormat="1" ht="18" customHeight="1">
      <c r="A25" s="154"/>
      <c r="B25" s="190"/>
      <c r="C25" s="74"/>
      <c r="D25" s="74"/>
      <c r="E25" s="75"/>
      <c r="F25" s="12"/>
      <c r="G25" s="12"/>
      <c r="H25" s="76">
        <f t="shared" si="1"/>
        <v>0</v>
      </c>
      <c r="I25" s="77">
        <f t="shared" si="2"/>
        <v>0</v>
      </c>
      <c r="J25" s="12" t="s">
        <v>104</v>
      </c>
      <c r="K25" s="12" t="s">
        <v>83</v>
      </c>
      <c r="L25" s="12"/>
      <c r="M25" s="76" t="s">
        <v>102</v>
      </c>
      <c r="N25" s="76"/>
    </row>
    <row r="26" spans="1:14" s="57" customFormat="1" ht="18" customHeight="1">
      <c r="A26" s="154"/>
      <c r="B26" s="190"/>
      <c r="C26" s="73"/>
      <c r="D26" s="74"/>
      <c r="E26" s="75"/>
      <c r="F26" s="73"/>
      <c r="G26" s="73"/>
      <c r="H26" s="76">
        <f t="shared" si="1"/>
        <v>0</v>
      </c>
      <c r="I26" s="77">
        <f t="shared" si="2"/>
        <v>0</v>
      </c>
      <c r="J26" s="12">
        <v>1</v>
      </c>
      <c r="K26" s="12" t="s">
        <v>169</v>
      </c>
      <c r="L26" s="12">
        <v>10</v>
      </c>
      <c r="M26" s="76" t="s">
        <v>169</v>
      </c>
      <c r="N26" s="76">
        <f>(N4+N5+N6)/3</f>
        <v>1200000</v>
      </c>
    </row>
    <row r="27" spans="1:14" s="57" customFormat="1" ht="18" customHeight="1">
      <c r="A27" s="154"/>
      <c r="B27" s="190"/>
      <c r="C27" s="73"/>
      <c r="D27" s="93"/>
      <c r="E27" s="75"/>
      <c r="F27" s="73"/>
      <c r="G27" s="73"/>
      <c r="H27" s="76">
        <f t="shared" si="1"/>
        <v>0</v>
      </c>
      <c r="I27" s="77">
        <f t="shared" si="2"/>
        <v>0</v>
      </c>
      <c r="J27" s="12">
        <v>2</v>
      </c>
      <c r="K27" s="12" t="s">
        <v>169</v>
      </c>
      <c r="L27" s="12">
        <v>5</v>
      </c>
      <c r="M27" s="76" t="s">
        <v>169</v>
      </c>
      <c r="N27" s="76">
        <f>(N7+N8+N9)/3</f>
        <v>600000</v>
      </c>
    </row>
    <row r="28" spans="1:9" ht="24" customHeight="1">
      <c r="A28" s="1"/>
      <c r="B28" s="3"/>
      <c r="C28" s="107"/>
      <c r="D28" s="108">
        <f>SUM(D4:D27)</f>
        <v>0</v>
      </c>
      <c r="E28" s="107"/>
      <c r="F28" s="3"/>
      <c r="G28" s="109">
        <f>SUM(G4:G27)</f>
        <v>44</v>
      </c>
      <c r="H28" s="109">
        <f>SUM(H4:H27)</f>
        <v>7310000</v>
      </c>
      <c r="I28" s="110"/>
    </row>
  </sheetData>
  <sheetProtection selectLockedCells="1" selectUnlockedCells="1"/>
  <mergeCells count="26"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B20:B21"/>
    <mergeCell ref="C20:C21"/>
    <mergeCell ref="B22:B23"/>
    <mergeCell ref="C22:C23"/>
    <mergeCell ref="F4:F5"/>
    <mergeCell ref="F6:F7"/>
    <mergeCell ref="F8:F9"/>
    <mergeCell ref="F10:F11"/>
    <mergeCell ref="B14:B15"/>
    <mergeCell ref="C14:C15"/>
    <mergeCell ref="B1:N1"/>
    <mergeCell ref="B2:N2"/>
    <mergeCell ref="B4:B5"/>
    <mergeCell ref="C4:C5"/>
    <mergeCell ref="B6:B7"/>
    <mergeCell ref="C6:C7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tr">
        <f>'Tourplan m. sløjfer'!D23</f>
        <v>Quicken Loan National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261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83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36</v>
      </c>
      <c r="B4" s="251">
        <v>19.8</v>
      </c>
      <c r="C4" s="73">
        <v>35</v>
      </c>
      <c r="D4" s="74">
        <v>32</v>
      </c>
      <c r="E4" s="75">
        <v>1.16</v>
      </c>
      <c r="F4" s="73">
        <v>1</v>
      </c>
      <c r="G4" s="73">
        <v>10</v>
      </c>
      <c r="H4" s="76">
        <f>N4+I4</f>
        <v>1910000</v>
      </c>
      <c r="I4" s="77">
        <f aca="true" t="shared" si="0" ref="I4:I11">IF(E4&gt;0,$N$13,0)+IF(C4&gt;0,50000,0)+IF(C12&lt;0,50000,0)</f>
        <v>410000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30</v>
      </c>
      <c r="B5" s="251">
        <v>9.3</v>
      </c>
      <c r="C5" s="73">
        <v>33</v>
      </c>
      <c r="D5" s="74">
        <v>33</v>
      </c>
      <c r="E5" s="89"/>
      <c r="F5" s="73">
        <v>2</v>
      </c>
      <c r="G5" s="73">
        <v>8</v>
      </c>
      <c r="H5" s="76">
        <f>N5+I5</f>
        <v>1250000</v>
      </c>
      <c r="I5" s="77">
        <f t="shared" si="0"/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28</v>
      </c>
      <c r="B6" s="251">
        <v>12.1</v>
      </c>
      <c r="C6" s="74">
        <v>32</v>
      </c>
      <c r="D6" s="74">
        <v>31</v>
      </c>
      <c r="E6" s="75"/>
      <c r="F6" s="12">
        <v>3</v>
      </c>
      <c r="G6" s="12">
        <v>6</v>
      </c>
      <c r="H6" s="76">
        <f>N6+I6</f>
        <v>950000</v>
      </c>
      <c r="I6" s="77">
        <f t="shared" si="0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18</v>
      </c>
      <c r="B7" s="251">
        <v>15</v>
      </c>
      <c r="C7" s="73">
        <v>31</v>
      </c>
      <c r="D7" s="93">
        <v>31</v>
      </c>
      <c r="E7" s="89"/>
      <c r="F7" s="73">
        <v>4</v>
      </c>
      <c r="G7" s="73">
        <v>5</v>
      </c>
      <c r="H7" s="76">
        <f>N7+I7</f>
        <v>770000</v>
      </c>
      <c r="I7" s="77">
        <f t="shared" si="0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38</v>
      </c>
      <c r="B8" s="251">
        <v>15.3</v>
      </c>
      <c r="C8" s="73">
        <v>31</v>
      </c>
      <c r="D8" s="93">
        <v>30</v>
      </c>
      <c r="E8" s="318"/>
      <c r="F8" s="73">
        <v>5</v>
      </c>
      <c r="G8" s="73">
        <v>4</v>
      </c>
      <c r="H8" s="76">
        <v>750000</v>
      </c>
      <c r="I8" s="77">
        <f t="shared" si="0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42</v>
      </c>
      <c r="B9" s="251">
        <v>17.9</v>
      </c>
      <c r="C9" s="74">
        <v>31</v>
      </c>
      <c r="D9" s="74">
        <v>34</v>
      </c>
      <c r="E9" s="75"/>
      <c r="F9" s="90">
        <v>6</v>
      </c>
      <c r="G9" s="90">
        <v>3</v>
      </c>
      <c r="H9" s="76">
        <f>N9+I9</f>
        <v>530000</v>
      </c>
      <c r="I9" s="77">
        <f t="shared" si="0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8</v>
      </c>
      <c r="B10" s="251">
        <v>20.6</v>
      </c>
      <c r="C10" s="73">
        <v>31</v>
      </c>
      <c r="D10" s="74">
        <v>37</v>
      </c>
      <c r="E10" s="75"/>
      <c r="F10" s="73">
        <v>7</v>
      </c>
      <c r="G10" s="73">
        <v>2</v>
      </c>
      <c r="H10" s="76">
        <f>N10+I10</f>
        <v>410000</v>
      </c>
      <c r="I10" s="77">
        <f t="shared" si="0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24</v>
      </c>
      <c r="B11" s="251">
        <v>17.9</v>
      </c>
      <c r="C11" s="74">
        <v>30</v>
      </c>
      <c r="D11" s="74">
        <v>37</v>
      </c>
      <c r="E11" s="75"/>
      <c r="F11" s="73">
        <v>8</v>
      </c>
      <c r="G11" s="73">
        <v>1</v>
      </c>
      <c r="H11" s="76">
        <f>N11+I11</f>
        <v>290000</v>
      </c>
      <c r="I11" s="77">
        <f t="shared" si="0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10</v>
      </c>
      <c r="B12" s="251">
        <v>13.7</v>
      </c>
      <c r="C12" s="74">
        <v>24</v>
      </c>
      <c r="D12" s="93">
        <v>37</v>
      </c>
      <c r="E12" s="75"/>
      <c r="F12" s="73"/>
      <c r="G12" s="73"/>
      <c r="H12" s="76">
        <f aca="true" t="shared" si="1" ref="H12:H27">I12</f>
        <v>50000</v>
      </c>
      <c r="I12" s="77">
        <f aca="true" t="shared" si="2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22</v>
      </c>
      <c r="B13" s="251">
        <v>14.1</v>
      </c>
      <c r="C13" s="73">
        <v>22</v>
      </c>
      <c r="D13" s="93">
        <v>41</v>
      </c>
      <c r="E13" s="75"/>
      <c r="F13" s="73"/>
      <c r="G13" s="73"/>
      <c r="H13" s="76">
        <f t="shared" si="1"/>
        <v>50000</v>
      </c>
      <c r="I13" s="77">
        <f t="shared" si="2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40</v>
      </c>
      <c r="B14" s="251">
        <v>21.2</v>
      </c>
      <c r="C14" s="12">
        <v>22</v>
      </c>
      <c r="D14" s="74">
        <v>43</v>
      </c>
      <c r="E14" s="75"/>
      <c r="F14" s="73"/>
      <c r="G14" s="73"/>
      <c r="H14" s="76">
        <f t="shared" si="1"/>
        <v>50000</v>
      </c>
      <c r="I14" s="77">
        <f t="shared" si="2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/>
      <c r="B15" s="251"/>
      <c r="C15" s="73"/>
      <c r="D15" s="74"/>
      <c r="E15" s="75"/>
      <c r="F15" s="73"/>
      <c r="G15" s="73"/>
      <c r="H15" s="76">
        <f t="shared" si="1"/>
        <v>0</v>
      </c>
      <c r="I15" s="77">
        <f t="shared" si="2"/>
        <v>0</v>
      </c>
      <c r="J15" s="102"/>
      <c r="K15" s="103"/>
      <c r="L15" s="103"/>
      <c r="M15" s="104"/>
      <c r="N15" s="105"/>
    </row>
    <row r="16" spans="1:9" s="82" customFormat="1" ht="18" customHeight="1">
      <c r="A16" s="154"/>
      <c r="B16" s="251"/>
      <c r="C16" s="73"/>
      <c r="D16" s="74"/>
      <c r="E16" s="89"/>
      <c r="F16" s="12"/>
      <c r="G16" s="12"/>
      <c r="H16" s="76">
        <f t="shared" si="1"/>
        <v>0</v>
      </c>
      <c r="I16" s="77">
        <f t="shared" si="2"/>
        <v>0</v>
      </c>
    </row>
    <row r="17" spans="1:18" s="82" customFormat="1" ht="18" customHeight="1">
      <c r="A17" s="154"/>
      <c r="B17" s="251"/>
      <c r="C17" s="12"/>
      <c r="D17" s="74"/>
      <c r="E17" s="89"/>
      <c r="F17" s="12"/>
      <c r="G17" s="12"/>
      <c r="H17" s="76">
        <f t="shared" si="1"/>
        <v>0</v>
      </c>
      <c r="I17" s="77">
        <f t="shared" si="2"/>
        <v>0</v>
      </c>
      <c r="O17" s="87"/>
      <c r="P17" s="87"/>
      <c r="Q17" s="87"/>
      <c r="R17" s="88"/>
    </row>
    <row r="18" spans="1:13" s="82" customFormat="1" ht="18" customHeight="1">
      <c r="A18" s="154"/>
      <c r="B18" s="251"/>
      <c r="C18" s="93"/>
      <c r="D18" s="93"/>
      <c r="E18" s="75"/>
      <c r="F18" s="73"/>
      <c r="G18" s="73"/>
      <c r="H18" s="76">
        <f t="shared" si="1"/>
        <v>0</v>
      </c>
      <c r="I18" s="77">
        <f t="shared" si="2"/>
        <v>0</v>
      </c>
      <c r="J18" s="88"/>
      <c r="K18" s="88"/>
      <c r="L18" s="88"/>
      <c r="M18" s="88"/>
    </row>
    <row r="19" spans="1:13" s="82" customFormat="1" ht="18" customHeight="1">
      <c r="A19" s="154"/>
      <c r="B19" s="251"/>
      <c r="C19" s="73"/>
      <c r="D19" s="93"/>
      <c r="E19" s="75"/>
      <c r="F19" s="73"/>
      <c r="G19" s="73"/>
      <c r="H19" s="76">
        <f t="shared" si="1"/>
        <v>0</v>
      </c>
      <c r="I19" s="77">
        <f t="shared" si="2"/>
        <v>0</v>
      </c>
      <c r="J19" s="88"/>
      <c r="K19" s="88"/>
      <c r="L19" s="88"/>
      <c r="M19" s="88"/>
    </row>
    <row r="20" spans="1:9" s="57" customFormat="1" ht="18" customHeight="1">
      <c r="A20" s="154"/>
      <c r="B20" s="251"/>
      <c r="C20" s="74"/>
      <c r="D20" s="93"/>
      <c r="E20" s="89"/>
      <c r="F20" s="12"/>
      <c r="G20" s="12"/>
      <c r="H20" s="76">
        <f t="shared" si="1"/>
        <v>0</v>
      </c>
      <c r="I20" s="77">
        <f t="shared" si="2"/>
        <v>0</v>
      </c>
    </row>
    <row r="21" spans="1:9" s="57" customFormat="1" ht="18" customHeight="1">
      <c r="A21" s="154"/>
      <c r="B21" s="251"/>
      <c r="C21" s="73"/>
      <c r="D21" s="74"/>
      <c r="E21" s="75"/>
      <c r="F21" s="12"/>
      <c r="G21" s="12"/>
      <c r="H21" s="76">
        <f t="shared" si="1"/>
        <v>0</v>
      </c>
      <c r="I21" s="77">
        <f t="shared" si="2"/>
        <v>0</v>
      </c>
    </row>
    <row r="22" spans="1:9" s="57" customFormat="1" ht="18" customHeight="1">
      <c r="A22" s="154"/>
      <c r="B22" s="251"/>
      <c r="C22" s="73"/>
      <c r="D22" s="74"/>
      <c r="E22" s="75"/>
      <c r="F22" s="12"/>
      <c r="G22" s="12"/>
      <c r="H22" s="76">
        <f t="shared" si="1"/>
        <v>0</v>
      </c>
      <c r="I22" s="77">
        <f t="shared" si="2"/>
        <v>0</v>
      </c>
    </row>
    <row r="23" spans="1:9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1"/>
        <v>0</v>
      </c>
      <c r="I23" s="77">
        <f t="shared" si="2"/>
        <v>0</v>
      </c>
    </row>
    <row r="24" spans="1:9" s="57" customFormat="1" ht="18" customHeight="1">
      <c r="A24" s="154"/>
      <c r="B24" s="251"/>
      <c r="C24" s="74"/>
      <c r="D24" s="74"/>
      <c r="E24" s="75"/>
      <c r="F24" s="12"/>
      <c r="G24" s="12"/>
      <c r="H24" s="76">
        <f t="shared" si="1"/>
        <v>0</v>
      </c>
      <c r="I24" s="77">
        <f t="shared" si="2"/>
        <v>0</v>
      </c>
    </row>
    <row r="25" spans="1:9" s="57" customFormat="1" ht="18" customHeight="1">
      <c r="A25" s="154"/>
      <c r="B25" s="251"/>
      <c r="C25" s="73"/>
      <c r="D25" s="74"/>
      <c r="E25" s="89"/>
      <c r="F25" s="12"/>
      <c r="G25" s="12"/>
      <c r="H25" s="76">
        <f t="shared" si="1"/>
        <v>0</v>
      </c>
      <c r="I25" s="77">
        <f t="shared" si="2"/>
        <v>0</v>
      </c>
    </row>
    <row r="26" spans="1:9" s="57" customFormat="1" ht="18" customHeight="1">
      <c r="A26" s="154"/>
      <c r="B26" s="251"/>
      <c r="C26" s="73"/>
      <c r="D26" s="74"/>
      <c r="E26" s="75"/>
      <c r="F26" s="73"/>
      <c r="G26" s="73"/>
      <c r="H26" s="76">
        <f t="shared" si="1"/>
        <v>0</v>
      </c>
      <c r="I26" s="77">
        <f t="shared" si="2"/>
        <v>0</v>
      </c>
    </row>
    <row r="27" spans="1:9" s="57" customFormat="1" ht="18" customHeight="1">
      <c r="A27" s="154"/>
      <c r="B27" s="251"/>
      <c r="C27" s="73"/>
      <c r="D27" s="93"/>
      <c r="E27" s="89"/>
      <c r="F27" s="73"/>
      <c r="G27" s="73"/>
      <c r="H27" s="76">
        <f t="shared" si="1"/>
        <v>0</v>
      </c>
      <c r="I27" s="77">
        <f t="shared" si="2"/>
        <v>0</v>
      </c>
    </row>
    <row r="28" spans="1:9" ht="24" customHeight="1">
      <c r="A28" s="1"/>
      <c r="B28" s="3"/>
      <c r="C28" s="107"/>
      <c r="D28" s="108">
        <f>SUM(D4:D27)</f>
        <v>386</v>
      </c>
      <c r="E28" s="107"/>
      <c r="F28" s="3"/>
      <c r="G28" s="109">
        <f>SUM(G4:G27)</f>
        <v>39</v>
      </c>
      <c r="H28" s="109">
        <f>SUM(H4:H27)</f>
        <v>7010000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112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260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108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30</v>
      </c>
      <c r="B4" s="251">
        <v>9.7</v>
      </c>
      <c r="C4" s="93">
        <v>67</v>
      </c>
      <c r="D4" s="74">
        <v>29</v>
      </c>
      <c r="E4" s="75"/>
      <c r="F4" s="73">
        <v>1</v>
      </c>
      <c r="G4" s="73">
        <v>10</v>
      </c>
      <c r="H4" s="76">
        <f aca="true" t="shared" si="0" ref="H4:H11">N4+I4</f>
        <v>2050000</v>
      </c>
      <c r="I4" s="77">
        <f aca="true" t="shared" si="1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2000000</v>
      </c>
    </row>
    <row r="5" spans="1:14" s="82" customFormat="1" ht="18" customHeight="1">
      <c r="A5" s="154" t="s">
        <v>12</v>
      </c>
      <c r="B5" s="251">
        <v>18.4</v>
      </c>
      <c r="C5" s="73">
        <v>68</v>
      </c>
      <c r="D5" s="74">
        <v>35</v>
      </c>
      <c r="E5" s="75"/>
      <c r="F5" s="73">
        <v>2</v>
      </c>
      <c r="G5" s="73">
        <v>8</v>
      </c>
      <c r="H5" s="76">
        <f t="shared" si="0"/>
        <v>1650000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1600000</v>
      </c>
    </row>
    <row r="6" spans="1:17" s="82" customFormat="1" ht="18" customHeight="1">
      <c r="A6" s="154" t="s">
        <v>32</v>
      </c>
      <c r="B6" s="251">
        <v>14.4</v>
      </c>
      <c r="C6" s="73">
        <v>69</v>
      </c>
      <c r="D6" s="74">
        <v>27</v>
      </c>
      <c r="E6" s="75"/>
      <c r="F6" s="12">
        <v>3</v>
      </c>
      <c r="G6" s="12">
        <v>6</v>
      </c>
      <c r="H6" s="76">
        <f t="shared" si="0"/>
        <v>1250000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1200000</v>
      </c>
      <c r="Q6" s="116"/>
    </row>
    <row r="7" spans="1:18" s="82" customFormat="1" ht="18" customHeight="1">
      <c r="A7" s="154" t="s">
        <v>46</v>
      </c>
      <c r="B7" s="251">
        <v>21.1</v>
      </c>
      <c r="C7" s="73">
        <v>69</v>
      </c>
      <c r="D7" s="74">
        <v>34</v>
      </c>
      <c r="E7" s="75"/>
      <c r="F7" s="73">
        <v>4</v>
      </c>
      <c r="G7" s="73">
        <v>5</v>
      </c>
      <c r="H7" s="76">
        <f t="shared" si="0"/>
        <v>1010000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960000</v>
      </c>
      <c r="O7" s="87"/>
      <c r="P7" s="87"/>
      <c r="Q7" s="87"/>
      <c r="R7" s="88"/>
    </row>
    <row r="8" spans="1:14" s="82" customFormat="1" ht="18" customHeight="1">
      <c r="A8" s="154" t="s">
        <v>10</v>
      </c>
      <c r="B8" s="251">
        <v>13.7</v>
      </c>
      <c r="C8" s="73">
        <v>70</v>
      </c>
      <c r="D8" s="74">
        <v>30</v>
      </c>
      <c r="E8" s="75"/>
      <c r="F8" s="73">
        <v>5</v>
      </c>
      <c r="G8" s="73">
        <v>4</v>
      </c>
      <c r="H8" s="76">
        <f t="shared" si="0"/>
        <v>850000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800000</v>
      </c>
    </row>
    <row r="9" spans="1:14" s="82" customFormat="1" ht="18" customHeight="1">
      <c r="A9" s="154" t="s">
        <v>38</v>
      </c>
      <c r="B9" s="251">
        <v>15.6</v>
      </c>
      <c r="C9" s="74">
        <v>70</v>
      </c>
      <c r="D9" s="93">
        <v>33</v>
      </c>
      <c r="E9" s="75"/>
      <c r="F9" s="90">
        <v>6</v>
      </c>
      <c r="G9" s="90">
        <v>3</v>
      </c>
      <c r="H9" s="76">
        <f t="shared" si="0"/>
        <v>690000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640000</v>
      </c>
    </row>
    <row r="10" spans="1:14" s="82" customFormat="1" ht="18" customHeight="1">
      <c r="A10" s="154" t="s">
        <v>18</v>
      </c>
      <c r="B10" s="251">
        <v>15</v>
      </c>
      <c r="C10" s="93">
        <v>71</v>
      </c>
      <c r="D10" s="93">
        <v>32</v>
      </c>
      <c r="E10" s="75"/>
      <c r="F10" s="73">
        <v>7</v>
      </c>
      <c r="G10" s="73">
        <v>2</v>
      </c>
      <c r="H10" s="76">
        <f t="shared" si="0"/>
        <v>530000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480000</v>
      </c>
    </row>
    <row r="11" spans="1:17" s="82" customFormat="1" ht="18" customHeight="1">
      <c r="A11" s="154" t="s">
        <v>48</v>
      </c>
      <c r="B11" s="251">
        <v>6.4</v>
      </c>
      <c r="C11" s="73">
        <v>72</v>
      </c>
      <c r="D11" s="74">
        <v>30</v>
      </c>
      <c r="E11" s="75"/>
      <c r="F11" s="73">
        <v>8</v>
      </c>
      <c r="G11" s="73">
        <v>1</v>
      </c>
      <c r="H11" s="76">
        <f t="shared" si="0"/>
        <v>370000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320000</v>
      </c>
      <c r="Q11" s="116"/>
    </row>
    <row r="12" spans="1:14" s="82" customFormat="1" ht="18" customHeight="1">
      <c r="A12" s="154" t="s">
        <v>28</v>
      </c>
      <c r="B12" s="251">
        <v>12</v>
      </c>
      <c r="C12" s="73">
        <v>73</v>
      </c>
      <c r="D12" s="93">
        <v>27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8000000</v>
      </c>
    </row>
    <row r="13" spans="1:14" s="82" customFormat="1" ht="18" customHeight="1">
      <c r="A13" s="154" t="s">
        <v>26</v>
      </c>
      <c r="B13" s="251">
        <v>24.3</v>
      </c>
      <c r="C13" s="73">
        <v>73</v>
      </c>
      <c r="D13" s="93">
        <v>28</v>
      </c>
      <c r="E13" s="75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480000</v>
      </c>
    </row>
    <row r="14" spans="1:14" s="82" customFormat="1" ht="18" customHeight="1">
      <c r="A14" s="154" t="s">
        <v>42</v>
      </c>
      <c r="B14" s="251">
        <v>17.8</v>
      </c>
      <c r="C14" s="73">
        <v>74</v>
      </c>
      <c r="D14" s="74">
        <v>36</v>
      </c>
      <c r="E14" s="75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20</v>
      </c>
      <c r="B15" s="251">
        <v>15.8</v>
      </c>
      <c r="C15" s="73">
        <v>75</v>
      </c>
      <c r="D15" s="74">
        <v>34</v>
      </c>
      <c r="E15" s="75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52</v>
      </c>
      <c r="B16" s="251">
        <v>13.5</v>
      </c>
      <c r="C16" s="93">
        <v>76</v>
      </c>
      <c r="D16" s="74">
        <v>35</v>
      </c>
      <c r="E16" s="75">
        <v>3.23</v>
      </c>
      <c r="F16" s="12"/>
      <c r="G16" s="12"/>
      <c r="H16" s="76">
        <f t="shared" si="2"/>
        <v>530000</v>
      </c>
      <c r="I16" s="77">
        <f t="shared" si="3"/>
        <v>530000</v>
      </c>
    </row>
    <row r="17" spans="1:18" s="82" customFormat="1" ht="18" customHeight="1">
      <c r="A17" s="154" t="s">
        <v>34</v>
      </c>
      <c r="B17" s="251">
        <v>14.8</v>
      </c>
      <c r="C17" s="73">
        <v>80</v>
      </c>
      <c r="D17" s="74">
        <v>31</v>
      </c>
      <c r="E17" s="75"/>
      <c r="F17" s="12"/>
      <c r="G17" s="12"/>
      <c r="H17" s="76">
        <f t="shared" si="2"/>
        <v>50000</v>
      </c>
      <c r="I17" s="77">
        <f t="shared" si="3"/>
        <v>50000</v>
      </c>
      <c r="O17" s="87"/>
      <c r="P17" s="87"/>
      <c r="Q17" s="87"/>
      <c r="R17" s="88"/>
    </row>
    <row r="18" spans="1:13" s="82" customFormat="1" ht="18" customHeight="1">
      <c r="A18" s="154" t="s">
        <v>22</v>
      </c>
      <c r="B18" s="251">
        <v>14</v>
      </c>
      <c r="C18" s="74">
        <v>83</v>
      </c>
      <c r="D18" s="74">
        <v>36</v>
      </c>
      <c r="E18" s="89"/>
      <c r="F18" s="73"/>
      <c r="G18" s="73"/>
      <c r="H18" s="76">
        <f t="shared" si="2"/>
        <v>50000</v>
      </c>
      <c r="I18" s="77">
        <f t="shared" si="3"/>
        <v>50000</v>
      </c>
      <c r="J18" s="88"/>
      <c r="K18" s="88"/>
      <c r="L18" s="88"/>
      <c r="M18" s="88"/>
    </row>
    <row r="19" spans="1:13" s="82" customFormat="1" ht="18" customHeight="1">
      <c r="A19" s="154" t="s">
        <v>40</v>
      </c>
      <c r="B19" s="251">
        <v>21.1</v>
      </c>
      <c r="C19" s="73">
        <v>86</v>
      </c>
      <c r="D19" s="74">
        <v>36</v>
      </c>
      <c r="E19" s="75"/>
      <c r="F19" s="73"/>
      <c r="G19" s="73"/>
      <c r="H19" s="76">
        <f t="shared" si="2"/>
        <v>50000</v>
      </c>
      <c r="I19" s="77">
        <f t="shared" si="3"/>
        <v>50000</v>
      </c>
      <c r="J19" s="88"/>
      <c r="K19" s="88"/>
      <c r="L19" s="88"/>
      <c r="M19" s="88"/>
    </row>
    <row r="20" spans="1:9" s="57" customFormat="1" ht="18" customHeight="1">
      <c r="A20" s="154" t="s">
        <v>50</v>
      </c>
      <c r="B20" s="251">
        <v>23.7</v>
      </c>
      <c r="C20" s="73">
        <v>88</v>
      </c>
      <c r="D20" s="74">
        <v>32</v>
      </c>
      <c r="E20" s="75"/>
      <c r="F20" s="12"/>
      <c r="G20" s="12"/>
      <c r="H20" s="76">
        <f t="shared" si="2"/>
        <v>50000</v>
      </c>
      <c r="I20" s="77">
        <f t="shared" si="3"/>
        <v>50000</v>
      </c>
    </row>
    <row r="21" spans="1:9" s="57" customFormat="1" ht="18" customHeight="1">
      <c r="A21" s="154"/>
      <c r="B21" s="251"/>
      <c r="C21" s="74"/>
      <c r="D21" s="74"/>
      <c r="E21" s="75"/>
      <c r="F21" s="12"/>
      <c r="G21" s="12"/>
      <c r="H21" s="76">
        <f t="shared" si="2"/>
        <v>0</v>
      </c>
      <c r="I21" s="77">
        <f t="shared" si="3"/>
        <v>0</v>
      </c>
    </row>
    <row r="22" spans="1:9" s="57" customFormat="1" ht="18" customHeight="1">
      <c r="A22" s="154"/>
      <c r="B22" s="251"/>
      <c r="C22" s="73"/>
      <c r="D22" s="74"/>
      <c r="E22" s="75"/>
      <c r="F22" s="12"/>
      <c r="G22" s="12"/>
      <c r="H22" s="76">
        <f t="shared" si="2"/>
        <v>0</v>
      </c>
      <c r="I22" s="77">
        <f t="shared" si="3"/>
        <v>0</v>
      </c>
    </row>
    <row r="23" spans="1:9" s="57" customFormat="1" ht="18" customHeight="1">
      <c r="A23" s="154"/>
      <c r="B23" s="251"/>
      <c r="C23" s="74"/>
      <c r="D23" s="93"/>
      <c r="E23" s="75"/>
      <c r="F23" s="12"/>
      <c r="G23" s="12"/>
      <c r="H23" s="76">
        <f t="shared" si="2"/>
        <v>0</v>
      </c>
      <c r="I23" s="77">
        <f t="shared" si="3"/>
        <v>0</v>
      </c>
    </row>
    <row r="24" spans="1:9" s="57" customFormat="1" ht="18" customHeight="1">
      <c r="A24" s="154"/>
      <c r="B24" s="251"/>
      <c r="C24" s="73"/>
      <c r="D24" s="74"/>
      <c r="E24" s="75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4"/>
      <c r="D25" s="93"/>
      <c r="E25" s="75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54"/>
      <c r="B26" s="251"/>
      <c r="C26" s="74"/>
      <c r="D26" s="93"/>
      <c r="E26" s="75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54"/>
      <c r="B27" s="190"/>
      <c r="C27" s="73"/>
      <c r="D27" s="93"/>
      <c r="E27" s="75"/>
      <c r="F27" s="73"/>
      <c r="G27" s="73"/>
      <c r="H27" s="76">
        <f t="shared" si="2"/>
        <v>0</v>
      </c>
      <c r="I27" s="77">
        <f t="shared" si="3"/>
        <v>0</v>
      </c>
    </row>
    <row r="28" spans="1:9" ht="24" customHeight="1">
      <c r="A28" s="1"/>
      <c r="B28" s="3"/>
      <c r="C28" s="107"/>
      <c r="D28" s="108">
        <f>SUM(D4:D27)</f>
        <v>545</v>
      </c>
      <c r="E28" s="107"/>
      <c r="F28" s="3"/>
      <c r="G28" s="109">
        <f>SUM(G4:G27)</f>
        <v>39</v>
      </c>
      <c r="H28" s="109">
        <f>SUM(H4:H27)</f>
        <v>9330000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113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258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123" customFormat="1" ht="27" customHeight="1">
      <c r="A3" s="117" t="s">
        <v>77</v>
      </c>
      <c r="B3" s="118" t="s">
        <v>78</v>
      </c>
      <c r="C3" s="118" t="s">
        <v>83</v>
      </c>
      <c r="D3" s="118" t="s">
        <v>80</v>
      </c>
      <c r="E3" s="118" t="s">
        <v>81</v>
      </c>
      <c r="F3" s="119" t="s">
        <v>82</v>
      </c>
      <c r="G3" s="120" t="s">
        <v>83</v>
      </c>
      <c r="H3" s="121" t="s">
        <v>84</v>
      </c>
      <c r="I3" s="122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10</v>
      </c>
      <c r="B4" s="251">
        <v>15.5</v>
      </c>
      <c r="C4" s="73">
        <v>42</v>
      </c>
      <c r="D4" s="93">
        <v>30</v>
      </c>
      <c r="E4" s="89"/>
      <c r="F4" s="73">
        <v>1</v>
      </c>
      <c r="G4" s="73">
        <v>10</v>
      </c>
      <c r="H4" s="76">
        <f aca="true" t="shared" si="0" ref="H4:H11">N4+I4</f>
        <v>1550000</v>
      </c>
      <c r="I4" s="77">
        <f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32</v>
      </c>
      <c r="B5" s="251">
        <v>14.7</v>
      </c>
      <c r="C5" s="74">
        <v>37</v>
      </c>
      <c r="D5" s="74">
        <v>26</v>
      </c>
      <c r="E5" s="89"/>
      <c r="F5" s="73">
        <v>2</v>
      </c>
      <c r="G5" s="73">
        <v>8</v>
      </c>
      <c r="H5" s="76">
        <f t="shared" si="0"/>
        <v>1250000</v>
      </c>
      <c r="I5" s="77">
        <f aca="true" t="shared" si="1" ref="I5:I11">IF(E5&gt;0,$N$13,0)+IF(C5&gt;0,50000,0)+IF(C13&lt;0,50000,0)</f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48</v>
      </c>
      <c r="B6" s="251">
        <v>6.3</v>
      </c>
      <c r="C6" s="73">
        <v>36</v>
      </c>
      <c r="D6" s="74">
        <v>28</v>
      </c>
      <c r="E6" s="75"/>
      <c r="F6" s="12">
        <v>3</v>
      </c>
      <c r="G6" s="12">
        <v>6</v>
      </c>
      <c r="H6" s="76">
        <f t="shared" si="0"/>
        <v>950000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34</v>
      </c>
      <c r="B7" s="251">
        <v>14.8</v>
      </c>
      <c r="C7" s="12">
        <v>36</v>
      </c>
      <c r="D7" s="74">
        <v>34</v>
      </c>
      <c r="E7" s="75"/>
      <c r="F7" s="73">
        <v>4</v>
      </c>
      <c r="G7" s="73">
        <v>5</v>
      </c>
      <c r="H7" s="76">
        <f t="shared" si="0"/>
        <v>770000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30</v>
      </c>
      <c r="B8" s="251">
        <v>9.7</v>
      </c>
      <c r="C8" s="74">
        <v>35</v>
      </c>
      <c r="D8" s="93">
        <v>33</v>
      </c>
      <c r="E8" s="75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12</v>
      </c>
      <c r="B9" s="251">
        <v>18.4</v>
      </c>
      <c r="C9" s="74">
        <v>35</v>
      </c>
      <c r="D9" s="74">
        <v>34</v>
      </c>
      <c r="E9" s="75"/>
      <c r="F9" s="90">
        <v>6</v>
      </c>
      <c r="G9" s="90">
        <v>3</v>
      </c>
      <c r="H9" s="76">
        <f t="shared" si="0"/>
        <v>530000</v>
      </c>
      <c r="I9" s="77">
        <f>IF(E9&gt;0,$N$13,0)+IF(C9&gt;0,50000,0)+IF(C17&lt;0,50000,0)</f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26</v>
      </c>
      <c r="B10" s="251">
        <v>24.3</v>
      </c>
      <c r="C10" s="73">
        <v>35</v>
      </c>
      <c r="D10" s="74">
        <v>38</v>
      </c>
      <c r="E10" s="75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8</v>
      </c>
      <c r="B11" s="251">
        <v>20.6</v>
      </c>
      <c r="C11" s="12">
        <v>33</v>
      </c>
      <c r="D11" s="93">
        <v>35</v>
      </c>
      <c r="E11" s="75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14</v>
      </c>
      <c r="B12" s="251">
        <v>12.3</v>
      </c>
      <c r="C12" s="73">
        <v>32</v>
      </c>
      <c r="D12" s="93">
        <v>34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52</v>
      </c>
      <c r="B13" s="251">
        <v>14.1</v>
      </c>
      <c r="C13" s="73">
        <v>32</v>
      </c>
      <c r="D13" s="74">
        <v>36</v>
      </c>
      <c r="E13" s="75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38</v>
      </c>
      <c r="B14" s="251">
        <v>15.4</v>
      </c>
      <c r="C14" s="74">
        <v>32</v>
      </c>
      <c r="D14" s="74">
        <v>30</v>
      </c>
      <c r="E14" s="89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44</v>
      </c>
      <c r="B15" s="251">
        <v>15</v>
      </c>
      <c r="C15" s="73">
        <v>30</v>
      </c>
      <c r="D15" s="74">
        <v>35</v>
      </c>
      <c r="E15" s="75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40</v>
      </c>
      <c r="B16" s="251">
        <v>21</v>
      </c>
      <c r="C16" s="73">
        <v>30</v>
      </c>
      <c r="D16" s="74">
        <v>35</v>
      </c>
      <c r="E16" s="75"/>
      <c r="F16" s="12"/>
      <c r="G16" s="12"/>
      <c r="H16" s="76">
        <f t="shared" si="2"/>
        <v>50000</v>
      </c>
      <c r="I16" s="77">
        <f t="shared" si="3"/>
        <v>50000</v>
      </c>
    </row>
    <row r="17" spans="1:18" s="82" customFormat="1" ht="18" customHeight="1">
      <c r="A17" s="154" t="s">
        <v>28</v>
      </c>
      <c r="B17" s="251">
        <v>11.9</v>
      </c>
      <c r="C17" s="73">
        <v>29</v>
      </c>
      <c r="D17" s="93">
        <v>36</v>
      </c>
      <c r="E17" s="89"/>
      <c r="F17" s="12"/>
      <c r="G17" s="12"/>
      <c r="H17" s="76">
        <f t="shared" si="2"/>
        <v>50000</v>
      </c>
      <c r="I17" s="77">
        <f t="shared" si="3"/>
        <v>50000</v>
      </c>
      <c r="O17" s="87"/>
      <c r="P17" s="87"/>
      <c r="Q17" s="87"/>
      <c r="R17" s="88"/>
    </row>
    <row r="18" spans="1:12" s="82" customFormat="1" ht="18" customHeight="1">
      <c r="A18" s="154" t="s">
        <v>18</v>
      </c>
      <c r="B18" s="251">
        <v>14.9</v>
      </c>
      <c r="C18" s="73">
        <v>29</v>
      </c>
      <c r="D18" s="74">
        <v>31</v>
      </c>
      <c r="E18" s="75">
        <v>4.84</v>
      </c>
      <c r="F18" s="73"/>
      <c r="G18" s="73"/>
      <c r="H18" s="76">
        <f t="shared" si="2"/>
        <v>410000</v>
      </c>
      <c r="I18" s="77">
        <f t="shared" si="3"/>
        <v>410000</v>
      </c>
      <c r="J18" s="88"/>
      <c r="K18" s="88"/>
      <c r="L18" s="88"/>
    </row>
    <row r="19" spans="1:12" s="82" customFormat="1" ht="18" customHeight="1">
      <c r="A19" s="154" t="s">
        <v>24</v>
      </c>
      <c r="B19" s="251">
        <v>17.7</v>
      </c>
      <c r="C19" s="73">
        <v>29</v>
      </c>
      <c r="D19" s="93">
        <v>37</v>
      </c>
      <c r="E19" s="89"/>
      <c r="F19" s="73"/>
      <c r="G19" s="73"/>
      <c r="H19" s="76">
        <f t="shared" si="2"/>
        <v>50000</v>
      </c>
      <c r="I19" s="77">
        <f t="shared" si="3"/>
        <v>50000</v>
      </c>
      <c r="J19" s="88"/>
      <c r="K19" s="88"/>
      <c r="L19" s="88"/>
    </row>
    <row r="20" spans="1:9" s="57" customFormat="1" ht="18" customHeight="1">
      <c r="A20" s="154" t="s">
        <v>20</v>
      </c>
      <c r="B20" s="251">
        <v>15.7</v>
      </c>
      <c r="C20" s="74">
        <v>26</v>
      </c>
      <c r="D20" s="74">
        <v>38</v>
      </c>
      <c r="E20" s="75"/>
      <c r="F20" s="12"/>
      <c r="G20" s="12"/>
      <c r="H20" s="76">
        <f t="shared" si="2"/>
        <v>50000</v>
      </c>
      <c r="I20" s="77">
        <f t="shared" si="3"/>
        <v>50000</v>
      </c>
    </row>
    <row r="21" spans="1:9" s="57" customFormat="1" ht="18" customHeight="1">
      <c r="A21" s="154" t="s">
        <v>36</v>
      </c>
      <c r="B21" s="251">
        <v>19.6</v>
      </c>
      <c r="C21" s="73">
        <v>24</v>
      </c>
      <c r="D21" s="74">
        <v>39</v>
      </c>
      <c r="E21" s="89"/>
      <c r="F21" s="12"/>
      <c r="G21" s="12"/>
      <c r="H21" s="76">
        <f t="shared" si="2"/>
        <v>50000</v>
      </c>
      <c r="I21" s="77">
        <f t="shared" si="3"/>
        <v>50000</v>
      </c>
    </row>
    <row r="22" spans="1:9" s="57" customFormat="1" ht="18" customHeight="1">
      <c r="A22" s="154" t="s">
        <v>42</v>
      </c>
      <c r="B22" s="251">
        <v>17.7</v>
      </c>
      <c r="C22" s="93">
        <v>23</v>
      </c>
      <c r="D22" s="74">
        <v>37</v>
      </c>
      <c r="E22" s="75"/>
      <c r="F22" s="12"/>
      <c r="G22" s="12"/>
      <c r="H22" s="76">
        <f t="shared" si="2"/>
        <v>50000</v>
      </c>
      <c r="I22" s="77">
        <f t="shared" si="3"/>
        <v>50000</v>
      </c>
    </row>
    <row r="23" spans="1:9" s="57" customFormat="1" ht="18" customHeight="1">
      <c r="A23" s="154" t="s">
        <v>46</v>
      </c>
      <c r="B23" s="251">
        <v>21</v>
      </c>
      <c r="C23" s="73">
        <v>22</v>
      </c>
      <c r="D23" s="74">
        <v>40</v>
      </c>
      <c r="E23" s="75"/>
      <c r="F23" s="12"/>
      <c r="G23" s="12"/>
      <c r="H23" s="76">
        <f t="shared" si="2"/>
        <v>50000</v>
      </c>
      <c r="I23" s="77">
        <f>IF(E23&gt;0,$N$13,0)+IF(C23&gt;0,50000,0)+IF(C23&lt;0,50000,0)</f>
        <v>50000</v>
      </c>
    </row>
    <row r="24" spans="1:9" s="57" customFormat="1" ht="18" customHeight="1">
      <c r="A24" s="154"/>
      <c r="B24" s="251"/>
      <c r="C24" s="73"/>
      <c r="D24" s="74"/>
      <c r="E24" s="89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3"/>
      <c r="D25" s="93"/>
      <c r="E25" s="75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54"/>
      <c r="B26" s="251"/>
      <c r="C26" s="73"/>
      <c r="D26" s="74"/>
      <c r="E26" s="75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54"/>
      <c r="B27" s="251"/>
      <c r="C27" s="74"/>
      <c r="D27" s="93"/>
      <c r="E27" s="89"/>
      <c r="F27" s="73"/>
      <c r="G27" s="73"/>
      <c r="H27" s="76">
        <f t="shared" si="2"/>
        <v>0</v>
      </c>
      <c r="I27" s="77">
        <f t="shared" si="3"/>
        <v>0</v>
      </c>
    </row>
    <row r="28" spans="1:9" ht="24" customHeight="1">
      <c r="A28" s="1"/>
      <c r="B28" s="3"/>
      <c r="C28" s="107"/>
      <c r="D28" s="108">
        <f>SUM(D4:D27)</f>
        <v>686</v>
      </c>
      <c r="E28" s="107"/>
      <c r="F28" s="3"/>
      <c r="G28" s="109">
        <f>SUM(G4:G27)</f>
        <v>39</v>
      </c>
      <c r="H28" s="109">
        <f>SUM(H4:H27)</f>
        <v>7360000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157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255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32</v>
      </c>
      <c r="B4" s="251">
        <v>15</v>
      </c>
      <c r="C4" s="73">
        <v>37</v>
      </c>
      <c r="D4" s="74">
        <v>32</v>
      </c>
      <c r="E4" s="89"/>
      <c r="F4" s="73">
        <v>1</v>
      </c>
      <c r="G4" s="73">
        <v>10</v>
      </c>
      <c r="H4" s="76">
        <v>1650000</v>
      </c>
      <c r="I4" s="77">
        <f aca="true" t="shared" si="0" ref="I4:I27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28</v>
      </c>
      <c r="B5" s="251">
        <v>11.9</v>
      </c>
      <c r="C5" s="73">
        <v>35</v>
      </c>
      <c r="D5" s="74">
        <v>34</v>
      </c>
      <c r="E5" s="89"/>
      <c r="F5" s="73">
        <v>2</v>
      </c>
      <c r="G5" s="73">
        <v>8</v>
      </c>
      <c r="H5" s="76">
        <f aca="true" t="shared" si="1" ref="H5:H11">N5+I5</f>
        <v>1250000</v>
      </c>
      <c r="I5" s="77">
        <f t="shared" si="0"/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30</v>
      </c>
      <c r="B6" s="251">
        <v>9.7</v>
      </c>
      <c r="C6" s="74">
        <v>34</v>
      </c>
      <c r="D6" s="74">
        <v>31</v>
      </c>
      <c r="E6" s="75"/>
      <c r="F6" s="12">
        <v>3</v>
      </c>
      <c r="G6" s="12">
        <v>6</v>
      </c>
      <c r="H6" s="76">
        <f t="shared" si="1"/>
        <v>950000</v>
      </c>
      <c r="I6" s="77">
        <f t="shared" si="0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10</v>
      </c>
      <c r="B7" s="251">
        <v>15.5</v>
      </c>
      <c r="C7" s="73">
        <v>34</v>
      </c>
      <c r="D7" s="93">
        <v>35</v>
      </c>
      <c r="E7" s="89"/>
      <c r="F7" s="73">
        <v>4</v>
      </c>
      <c r="G7" s="73">
        <v>5</v>
      </c>
      <c r="H7" s="76">
        <f t="shared" si="1"/>
        <v>770000</v>
      </c>
      <c r="I7" s="77">
        <f t="shared" si="0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18</v>
      </c>
      <c r="B8" s="251">
        <v>14.9</v>
      </c>
      <c r="C8" s="73">
        <v>33</v>
      </c>
      <c r="D8" s="74">
        <v>30</v>
      </c>
      <c r="E8" s="75">
        <v>5.48</v>
      </c>
      <c r="F8" s="73">
        <v>5</v>
      </c>
      <c r="G8" s="73">
        <v>4</v>
      </c>
      <c r="H8" s="76">
        <v>750000</v>
      </c>
      <c r="I8" s="77">
        <f t="shared" si="0"/>
        <v>410000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46</v>
      </c>
      <c r="B9" s="251">
        <v>21</v>
      </c>
      <c r="C9" s="73">
        <v>32</v>
      </c>
      <c r="D9" s="74">
        <v>39</v>
      </c>
      <c r="E9" s="89"/>
      <c r="F9" s="90">
        <v>6</v>
      </c>
      <c r="G9" s="90">
        <v>3</v>
      </c>
      <c r="H9" s="76">
        <f t="shared" si="1"/>
        <v>530000</v>
      </c>
      <c r="I9" s="77">
        <f t="shared" si="0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12</v>
      </c>
      <c r="B10" s="251">
        <v>18.3</v>
      </c>
      <c r="C10" s="74">
        <v>31</v>
      </c>
      <c r="D10" s="74">
        <v>37</v>
      </c>
      <c r="E10" s="75"/>
      <c r="F10" s="73">
        <v>7</v>
      </c>
      <c r="G10" s="73">
        <v>2</v>
      </c>
      <c r="H10" s="76">
        <f t="shared" si="1"/>
        <v>410000</v>
      </c>
      <c r="I10" s="77">
        <f t="shared" si="0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26</v>
      </c>
      <c r="B11" s="251">
        <v>24.2</v>
      </c>
      <c r="C11" s="73">
        <v>31</v>
      </c>
      <c r="D11" s="93">
        <v>36</v>
      </c>
      <c r="E11" s="89"/>
      <c r="F11" s="73">
        <v>8</v>
      </c>
      <c r="G11" s="73">
        <v>1</v>
      </c>
      <c r="H11" s="76">
        <f t="shared" si="1"/>
        <v>290000</v>
      </c>
      <c r="I11" s="77">
        <f t="shared" si="0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42</v>
      </c>
      <c r="B12" s="251">
        <v>17.6</v>
      </c>
      <c r="C12" s="73">
        <v>30</v>
      </c>
      <c r="D12" s="74">
        <v>37</v>
      </c>
      <c r="E12" s="75">
        <v>4.36</v>
      </c>
      <c r="F12" s="73"/>
      <c r="G12" s="73"/>
      <c r="H12" s="76">
        <v>150000</v>
      </c>
      <c r="I12" s="77">
        <f t="shared" si="0"/>
        <v>410000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22</v>
      </c>
      <c r="B13" s="251">
        <v>13.8</v>
      </c>
      <c r="C13" s="74">
        <v>28</v>
      </c>
      <c r="D13" s="74">
        <v>39</v>
      </c>
      <c r="E13" s="75">
        <v>5.13</v>
      </c>
      <c r="F13" s="73"/>
      <c r="G13" s="73"/>
      <c r="H13" s="76">
        <v>150000</v>
      </c>
      <c r="I13" s="77">
        <f t="shared" si="0"/>
        <v>410000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34</v>
      </c>
      <c r="B14" s="251">
        <v>14.7</v>
      </c>
      <c r="C14" s="12">
        <v>28</v>
      </c>
      <c r="D14" s="74">
        <v>38</v>
      </c>
      <c r="E14" s="75"/>
      <c r="F14" s="73"/>
      <c r="G14" s="73"/>
      <c r="H14" s="76">
        <f aca="true" t="shared" si="2" ref="H14:H27">I14</f>
        <v>50000</v>
      </c>
      <c r="I14" s="77">
        <f t="shared" si="0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44</v>
      </c>
      <c r="B15" s="251">
        <v>14.9</v>
      </c>
      <c r="C15" s="73">
        <v>28</v>
      </c>
      <c r="D15" s="93">
        <v>37</v>
      </c>
      <c r="E15" s="75"/>
      <c r="F15" s="73"/>
      <c r="G15" s="73"/>
      <c r="H15" s="76">
        <f t="shared" si="2"/>
        <v>50000</v>
      </c>
      <c r="I15" s="77">
        <f t="shared" si="0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171</v>
      </c>
      <c r="B16" s="251">
        <v>11.2</v>
      </c>
      <c r="C16" s="73">
        <v>27</v>
      </c>
      <c r="D16" s="74">
        <v>38</v>
      </c>
      <c r="E16" s="89">
        <v>2.95</v>
      </c>
      <c r="F16" s="12"/>
      <c r="G16" s="12"/>
      <c r="H16" s="76">
        <f t="shared" si="2"/>
        <v>410000</v>
      </c>
      <c r="I16" s="77">
        <f t="shared" si="0"/>
        <v>410000</v>
      </c>
    </row>
    <row r="17" spans="1:13" s="82" customFormat="1" ht="18" customHeight="1">
      <c r="A17" s="154" t="s">
        <v>14</v>
      </c>
      <c r="B17" s="251">
        <v>12.2</v>
      </c>
      <c r="C17" s="73">
        <v>26</v>
      </c>
      <c r="D17" s="93">
        <v>39</v>
      </c>
      <c r="E17" s="75"/>
      <c r="F17" s="12"/>
      <c r="G17" s="12"/>
      <c r="H17" s="76">
        <f t="shared" si="2"/>
        <v>50000</v>
      </c>
      <c r="I17" s="77">
        <f t="shared" si="0"/>
        <v>50000</v>
      </c>
      <c r="J17" s="87"/>
      <c r="K17" s="87"/>
      <c r="L17" s="87"/>
      <c r="M17" s="88"/>
    </row>
    <row r="18" spans="1:13" s="82" customFormat="1" ht="18" customHeight="1">
      <c r="A18" s="154" t="s">
        <v>16</v>
      </c>
      <c r="B18" s="251">
        <v>19.2</v>
      </c>
      <c r="C18" s="74">
        <v>19</v>
      </c>
      <c r="D18" s="74">
        <v>41</v>
      </c>
      <c r="E18" s="75">
        <v>8.05</v>
      </c>
      <c r="F18" s="73"/>
      <c r="G18" s="73"/>
      <c r="H18" s="76">
        <v>150000</v>
      </c>
      <c r="I18" s="77">
        <f t="shared" si="0"/>
        <v>410000</v>
      </c>
      <c r="J18" s="88"/>
      <c r="K18" s="88"/>
      <c r="L18" s="88"/>
      <c r="M18" s="88"/>
    </row>
    <row r="19" spans="1:13" s="82" customFormat="1" ht="18" customHeight="1">
      <c r="A19" s="154"/>
      <c r="B19" s="251"/>
      <c r="C19" s="73"/>
      <c r="D19" s="93"/>
      <c r="E19" s="89"/>
      <c r="F19" s="73"/>
      <c r="G19" s="73"/>
      <c r="H19" s="76">
        <f t="shared" si="2"/>
        <v>0</v>
      </c>
      <c r="I19" s="77">
        <f t="shared" si="0"/>
        <v>0</v>
      </c>
      <c r="J19" s="88"/>
      <c r="K19" s="88"/>
      <c r="L19" s="88"/>
      <c r="M19" s="88"/>
    </row>
    <row r="20" spans="1:9" s="57" customFormat="1" ht="18" customHeight="1">
      <c r="A20" s="154"/>
      <c r="B20" s="251"/>
      <c r="C20" s="74"/>
      <c r="D20" s="93"/>
      <c r="E20" s="75"/>
      <c r="F20" s="12"/>
      <c r="G20" s="12"/>
      <c r="H20" s="76">
        <f t="shared" si="2"/>
        <v>0</v>
      </c>
      <c r="I20" s="77">
        <f t="shared" si="0"/>
        <v>0</v>
      </c>
    </row>
    <row r="21" spans="1:9" s="57" customFormat="1" ht="18" customHeight="1">
      <c r="A21" s="154"/>
      <c r="B21" s="251"/>
      <c r="C21" s="93"/>
      <c r="D21" s="74"/>
      <c r="E21" s="75"/>
      <c r="F21" s="12"/>
      <c r="G21" s="12"/>
      <c r="H21" s="76">
        <f t="shared" si="2"/>
        <v>0</v>
      </c>
      <c r="I21" s="77">
        <f t="shared" si="0"/>
        <v>0</v>
      </c>
    </row>
    <row r="22" spans="1:9" s="57" customFormat="1" ht="18" customHeight="1">
      <c r="A22" s="154"/>
      <c r="B22" s="251"/>
      <c r="C22" s="12"/>
      <c r="D22" s="93"/>
      <c r="E22" s="75"/>
      <c r="F22" s="12"/>
      <c r="G22" s="12"/>
      <c r="H22" s="76">
        <f t="shared" si="2"/>
        <v>0</v>
      </c>
      <c r="I22" s="77">
        <f t="shared" si="0"/>
        <v>0</v>
      </c>
    </row>
    <row r="23" spans="1:9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 t="shared" si="0"/>
        <v>0</v>
      </c>
    </row>
    <row r="24" spans="1:9" s="57" customFormat="1" ht="18" customHeight="1">
      <c r="A24" s="154"/>
      <c r="B24" s="251"/>
      <c r="C24" s="73"/>
      <c r="D24" s="74"/>
      <c r="E24" s="75"/>
      <c r="F24" s="12"/>
      <c r="G24" s="12"/>
      <c r="H24" s="76">
        <f t="shared" si="2"/>
        <v>0</v>
      </c>
      <c r="I24" s="77">
        <f t="shared" si="0"/>
        <v>0</v>
      </c>
    </row>
    <row r="25" spans="1:9" s="57" customFormat="1" ht="18" customHeight="1">
      <c r="A25" s="154"/>
      <c r="B25" s="251"/>
      <c r="C25" s="73"/>
      <c r="D25" s="74"/>
      <c r="E25" s="75"/>
      <c r="F25" s="12"/>
      <c r="G25" s="12"/>
      <c r="H25" s="76">
        <f t="shared" si="2"/>
        <v>0</v>
      </c>
      <c r="I25" s="77">
        <f t="shared" si="0"/>
        <v>0</v>
      </c>
    </row>
    <row r="26" spans="1:9" s="57" customFormat="1" ht="18" customHeight="1">
      <c r="A26" s="154"/>
      <c r="B26" s="190"/>
      <c r="C26" s="73"/>
      <c r="D26" s="74"/>
      <c r="E26" s="75"/>
      <c r="F26" s="73"/>
      <c r="G26" s="73"/>
      <c r="H26" s="76">
        <f t="shared" si="2"/>
        <v>0</v>
      </c>
      <c r="I26" s="77">
        <f t="shared" si="0"/>
        <v>0</v>
      </c>
    </row>
    <row r="27" spans="1:9" s="57" customFormat="1" ht="18" customHeight="1">
      <c r="A27" s="154"/>
      <c r="B27" s="190"/>
      <c r="C27" s="74"/>
      <c r="D27" s="93"/>
      <c r="E27" s="89"/>
      <c r="F27" s="73"/>
      <c r="G27" s="73"/>
      <c r="H27" s="76">
        <f t="shared" si="2"/>
        <v>0</v>
      </c>
      <c r="I27" s="77">
        <f t="shared" si="0"/>
        <v>0</v>
      </c>
    </row>
    <row r="28" spans="1:9" ht="24" customHeight="1">
      <c r="A28" s="1"/>
      <c r="B28" s="3"/>
      <c r="C28" s="107"/>
      <c r="D28" s="108">
        <f>SUM(D4:D27)</f>
        <v>543</v>
      </c>
      <c r="E28" s="107"/>
      <c r="F28" s="3"/>
      <c r="G28" s="109">
        <f>SUM(G4:G27)</f>
        <v>39</v>
      </c>
      <c r="H28" s="109">
        <f>SUM(H4:H27)</f>
        <v>7610000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tr">
        <f>'28-05a'!B1:N1</f>
        <v>Blue Mountain Invitational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248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83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48</v>
      </c>
      <c r="B4" s="251">
        <v>6</v>
      </c>
      <c r="C4" s="12">
        <v>35</v>
      </c>
      <c r="D4" s="74">
        <v>31</v>
      </c>
      <c r="E4" s="75">
        <v>3.22</v>
      </c>
      <c r="F4" s="73">
        <v>1</v>
      </c>
      <c r="G4" s="73">
        <v>10</v>
      </c>
      <c r="H4" s="76">
        <f aca="true" t="shared" si="0" ref="H4:H11">N4+I4</f>
        <v>1600000</v>
      </c>
      <c r="I4" s="77">
        <f>IF(E4&gt;0,$N$13,0)+IF(C4&gt;0,50000,0)+IF(C12&lt;0,50000,0)</f>
        <v>350000</v>
      </c>
      <c r="J4" s="78" t="s">
        <v>86</v>
      </c>
      <c r="K4" s="79"/>
      <c r="L4" s="80"/>
      <c r="M4" s="81">
        <v>10</v>
      </c>
      <c r="N4" s="76">
        <f>N12*25%</f>
        <v>1250000</v>
      </c>
    </row>
    <row r="5" spans="1:14" s="82" customFormat="1" ht="18" customHeight="1">
      <c r="A5" s="154" t="s">
        <v>52</v>
      </c>
      <c r="B5" s="251">
        <v>13.8</v>
      </c>
      <c r="C5" s="74">
        <v>34</v>
      </c>
      <c r="D5" s="74">
        <v>31</v>
      </c>
      <c r="E5" s="75"/>
      <c r="F5" s="73">
        <v>2</v>
      </c>
      <c r="G5" s="73">
        <v>8</v>
      </c>
      <c r="H5" s="76">
        <f t="shared" si="0"/>
        <v>1050000</v>
      </c>
      <c r="I5" s="77">
        <f aca="true" t="shared" si="1" ref="I5:I11">IF(E5&gt;0,$N$13,0)+IF(C5&gt;0,50000,0)+IF(C13&lt;0,50000,0)</f>
        <v>50000</v>
      </c>
      <c r="J5" s="83" t="s">
        <v>87</v>
      </c>
      <c r="K5" s="84"/>
      <c r="L5" s="85"/>
      <c r="M5" s="86">
        <v>8</v>
      </c>
      <c r="N5" s="76">
        <f>N12*20%</f>
        <v>1000000</v>
      </c>
    </row>
    <row r="6" spans="1:14" s="82" customFormat="1" ht="18" customHeight="1">
      <c r="A6" s="154" t="s">
        <v>32</v>
      </c>
      <c r="B6" s="251">
        <v>14.8</v>
      </c>
      <c r="C6" s="93">
        <v>32</v>
      </c>
      <c r="D6" s="74">
        <v>34</v>
      </c>
      <c r="E6" s="75"/>
      <c r="F6" s="12">
        <v>3</v>
      </c>
      <c r="G6" s="12">
        <v>6</v>
      </c>
      <c r="H6" s="76">
        <f t="shared" si="0"/>
        <v>800000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750000</v>
      </c>
    </row>
    <row r="7" spans="1:18" s="82" customFormat="1" ht="18" customHeight="1">
      <c r="A7" s="154" t="s">
        <v>12</v>
      </c>
      <c r="B7" s="251">
        <v>18.1</v>
      </c>
      <c r="C7" s="73">
        <v>30</v>
      </c>
      <c r="D7" s="93">
        <v>36</v>
      </c>
      <c r="E7" s="89"/>
      <c r="F7" s="73">
        <v>4</v>
      </c>
      <c r="G7" s="73">
        <v>5</v>
      </c>
      <c r="H7" s="76">
        <f t="shared" si="0"/>
        <v>650000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600000</v>
      </c>
      <c r="O7" s="87"/>
      <c r="P7" s="87"/>
      <c r="Q7" s="87"/>
      <c r="R7" s="88"/>
    </row>
    <row r="8" spans="1:14" s="82" customFormat="1" ht="18" customHeight="1">
      <c r="A8" s="154" t="s">
        <v>10</v>
      </c>
      <c r="B8" s="251">
        <v>15.4</v>
      </c>
      <c r="C8" s="73">
        <v>29</v>
      </c>
      <c r="D8" s="74">
        <v>35</v>
      </c>
      <c r="E8" s="75"/>
      <c r="F8" s="73">
        <v>5</v>
      </c>
      <c r="G8" s="73">
        <v>4</v>
      </c>
      <c r="H8" s="76">
        <f t="shared" si="0"/>
        <v>550000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500000</v>
      </c>
    </row>
    <row r="9" spans="1:14" s="82" customFormat="1" ht="18" customHeight="1">
      <c r="A9" s="154" t="s">
        <v>171</v>
      </c>
      <c r="B9" s="251">
        <v>11.2</v>
      </c>
      <c r="C9" s="73">
        <v>28</v>
      </c>
      <c r="D9" s="93">
        <v>37</v>
      </c>
      <c r="E9" s="89"/>
      <c r="F9" s="90">
        <v>6</v>
      </c>
      <c r="G9" s="90">
        <v>3</v>
      </c>
      <c r="H9" s="76">
        <f t="shared" si="0"/>
        <v>450000</v>
      </c>
      <c r="I9" s="77">
        <f>IF(E9&gt;0,$N$13,0)+IF(C9&gt;0,50000,0)+IF(C17&lt;0,50000,0)</f>
        <v>50000</v>
      </c>
      <c r="J9" s="83" t="s">
        <v>91</v>
      </c>
      <c r="K9" s="84"/>
      <c r="L9" s="85"/>
      <c r="M9" s="86">
        <v>3</v>
      </c>
      <c r="N9" s="76">
        <f>N12*8%</f>
        <v>400000</v>
      </c>
    </row>
    <row r="10" spans="1:14" s="82" customFormat="1" ht="18" customHeight="1">
      <c r="A10" s="154" t="s">
        <v>18</v>
      </c>
      <c r="B10" s="251">
        <v>15.2</v>
      </c>
      <c r="C10" s="73">
        <v>26</v>
      </c>
      <c r="D10" s="74">
        <v>35</v>
      </c>
      <c r="E10" s="75"/>
      <c r="F10" s="73">
        <v>7</v>
      </c>
      <c r="G10" s="73">
        <v>2</v>
      </c>
      <c r="H10" s="76">
        <f t="shared" si="0"/>
        <v>350000</v>
      </c>
      <c r="I10" s="77">
        <f>IF(E10&gt;0,$N$13,0)+IF(C10&gt;0,50000,0)+IF(C18&lt;0,50000,0)</f>
        <v>50000</v>
      </c>
      <c r="J10" s="83" t="s">
        <v>92</v>
      </c>
      <c r="K10" s="84"/>
      <c r="L10" s="85"/>
      <c r="M10" s="86">
        <v>2</v>
      </c>
      <c r="N10" s="76">
        <f>N12*6%</f>
        <v>300000</v>
      </c>
    </row>
    <row r="11" spans="1:14" s="82" customFormat="1" ht="18" customHeight="1">
      <c r="A11" s="154" t="s">
        <v>42</v>
      </c>
      <c r="B11" s="251">
        <v>17.3</v>
      </c>
      <c r="C11" s="74">
        <v>26</v>
      </c>
      <c r="D11" s="93">
        <v>38</v>
      </c>
      <c r="E11" s="89"/>
      <c r="F11" s="73">
        <v>8</v>
      </c>
      <c r="G11" s="73">
        <v>1</v>
      </c>
      <c r="H11" s="76">
        <f t="shared" si="0"/>
        <v>250000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200000</v>
      </c>
    </row>
    <row r="12" spans="1:14" s="82" customFormat="1" ht="18" customHeight="1">
      <c r="A12" s="154" t="s">
        <v>34</v>
      </c>
      <c r="B12" s="251">
        <v>14.4</v>
      </c>
      <c r="C12" s="74">
        <v>24</v>
      </c>
      <c r="D12" s="93">
        <v>36</v>
      </c>
      <c r="E12" s="89"/>
      <c r="F12" s="73"/>
      <c r="G12" s="73"/>
      <c r="H12" s="76">
        <f aca="true" t="shared" si="2" ref="H12:H20">I12</f>
        <v>50000</v>
      </c>
      <c r="I12" s="77">
        <f>IF(E12&gt;0,$N$13,0)+IF(C12&gt;0,50000,0)+IF(C12&lt;0,50000,0)</f>
        <v>50000</v>
      </c>
      <c r="J12" s="91" t="s">
        <v>94</v>
      </c>
      <c r="K12" s="84"/>
      <c r="L12" s="85"/>
      <c r="M12" s="86"/>
      <c r="N12" s="92">
        <v>5000000</v>
      </c>
    </row>
    <row r="13" spans="1:14" s="82" customFormat="1" ht="18" customHeight="1">
      <c r="A13" s="154" t="s">
        <v>38</v>
      </c>
      <c r="B13" s="251">
        <v>15.2</v>
      </c>
      <c r="C13" s="73">
        <v>22</v>
      </c>
      <c r="D13" s="93">
        <v>39</v>
      </c>
      <c r="E13" s="75" t="s">
        <v>252</v>
      </c>
      <c r="F13" s="73"/>
      <c r="G13" s="73"/>
      <c r="H13" s="76">
        <f t="shared" si="2"/>
        <v>350000</v>
      </c>
      <c r="I13" s="77">
        <f aca="true" t="shared" si="3" ref="I13:I27">IF(E13&gt;0,$N$13,0)+IF(C13&gt;0,50000,0)+IF(C13&lt;0,50000,0)</f>
        <v>350000</v>
      </c>
      <c r="J13" s="94" t="s">
        <v>95</v>
      </c>
      <c r="K13" s="95"/>
      <c r="L13" s="96"/>
      <c r="M13" s="97">
        <v>1</v>
      </c>
      <c r="N13" s="98">
        <f>N10</f>
        <v>300000</v>
      </c>
    </row>
    <row r="14" spans="1:14" s="82" customFormat="1" ht="18" customHeight="1">
      <c r="A14" s="154" t="s">
        <v>44</v>
      </c>
      <c r="B14" s="251">
        <v>14.6</v>
      </c>
      <c r="C14" s="73">
        <v>21</v>
      </c>
      <c r="D14" s="74">
        <v>34</v>
      </c>
      <c r="E14" s="75">
        <v>5.75</v>
      </c>
      <c r="F14" s="73"/>
      <c r="G14" s="73"/>
      <c r="H14" s="76">
        <f t="shared" si="2"/>
        <v>350000</v>
      </c>
      <c r="I14" s="77">
        <f t="shared" si="3"/>
        <v>350000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50</v>
      </c>
      <c r="B15" s="251">
        <v>23.5</v>
      </c>
      <c r="C15" s="73">
        <v>17</v>
      </c>
      <c r="D15" s="74">
        <v>43</v>
      </c>
      <c r="E15" s="75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26</v>
      </c>
      <c r="B16" s="251">
        <v>23.9</v>
      </c>
      <c r="C16" s="73">
        <v>13</v>
      </c>
      <c r="D16" s="93">
        <v>46</v>
      </c>
      <c r="E16" s="89"/>
      <c r="F16" s="12"/>
      <c r="G16" s="12"/>
      <c r="H16" s="76">
        <f t="shared" si="2"/>
        <v>50000</v>
      </c>
      <c r="I16" s="77">
        <f t="shared" si="3"/>
        <v>50000</v>
      </c>
    </row>
    <row r="17" spans="1:18" s="82" customFormat="1" ht="18" customHeight="1">
      <c r="A17" s="154" t="s">
        <v>14</v>
      </c>
      <c r="B17" s="251">
        <v>12.1</v>
      </c>
      <c r="C17" s="73" t="s">
        <v>251</v>
      </c>
      <c r="D17" s="74">
        <v>37</v>
      </c>
      <c r="E17" s="75"/>
      <c r="F17" s="12"/>
      <c r="G17" s="12"/>
      <c r="H17" s="76">
        <f t="shared" si="2"/>
        <v>50000</v>
      </c>
      <c r="I17" s="77">
        <f t="shared" si="3"/>
        <v>50000</v>
      </c>
      <c r="O17" s="87"/>
      <c r="P17" s="87"/>
      <c r="Q17" s="87"/>
      <c r="R17" s="88"/>
    </row>
    <row r="18" spans="1:13" s="82" customFormat="1" ht="18" customHeight="1">
      <c r="A18" s="154"/>
      <c r="B18" s="251"/>
      <c r="C18" s="73"/>
      <c r="D18" s="74"/>
      <c r="E18" s="75"/>
      <c r="F18" s="73"/>
      <c r="G18" s="73"/>
      <c r="H18" s="76">
        <f t="shared" si="2"/>
        <v>0</v>
      </c>
      <c r="I18" s="77">
        <f t="shared" si="3"/>
        <v>0</v>
      </c>
      <c r="J18" s="88"/>
      <c r="K18" s="88"/>
      <c r="L18" s="88"/>
      <c r="M18" s="88"/>
    </row>
    <row r="19" spans="1:13" s="82" customFormat="1" ht="18" customHeight="1">
      <c r="A19" s="154"/>
      <c r="B19" s="251"/>
      <c r="C19" s="74"/>
      <c r="D19" s="74"/>
      <c r="E19" s="75"/>
      <c r="F19" s="73"/>
      <c r="G19" s="73"/>
      <c r="H19" s="76">
        <f t="shared" si="2"/>
        <v>0</v>
      </c>
      <c r="I19" s="77">
        <f t="shared" si="3"/>
        <v>0</v>
      </c>
      <c r="J19" s="88"/>
      <c r="K19" s="88"/>
      <c r="L19" s="88"/>
      <c r="M19" s="88"/>
    </row>
    <row r="20" spans="1:9" s="57" customFormat="1" ht="18" customHeight="1">
      <c r="A20" s="154"/>
      <c r="B20" s="251"/>
      <c r="C20" s="73"/>
      <c r="D20" s="74"/>
      <c r="E20" s="75"/>
      <c r="F20" s="12"/>
      <c r="G20" s="12"/>
      <c r="H20" s="76">
        <f t="shared" si="2"/>
        <v>0</v>
      </c>
      <c r="I20" s="77">
        <f t="shared" si="3"/>
        <v>0</v>
      </c>
    </row>
    <row r="21" spans="1:9" s="57" customFormat="1" ht="18" customHeight="1">
      <c r="A21" s="154"/>
      <c r="B21" s="251"/>
      <c r="C21" s="73"/>
      <c r="D21" s="74"/>
      <c r="E21" s="75"/>
      <c r="F21" s="12"/>
      <c r="G21" s="12"/>
      <c r="H21" s="76">
        <f aca="true" t="shared" si="4" ref="H21:H27">I21</f>
        <v>0</v>
      </c>
      <c r="I21" s="77">
        <f t="shared" si="3"/>
        <v>0</v>
      </c>
    </row>
    <row r="22" spans="1:9" s="57" customFormat="1" ht="18" customHeight="1">
      <c r="A22" s="154"/>
      <c r="B22" s="251"/>
      <c r="C22" s="73"/>
      <c r="D22" s="74"/>
      <c r="E22" s="75"/>
      <c r="F22" s="12"/>
      <c r="G22" s="12"/>
      <c r="H22" s="76">
        <f t="shared" si="4"/>
        <v>0</v>
      </c>
      <c r="I22" s="77">
        <f t="shared" si="3"/>
        <v>0</v>
      </c>
    </row>
    <row r="23" spans="1:9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4"/>
        <v>0</v>
      </c>
      <c r="I23" s="77">
        <f t="shared" si="3"/>
        <v>0</v>
      </c>
    </row>
    <row r="24" spans="1:9" s="57" customFormat="1" ht="18" customHeight="1">
      <c r="A24" s="154"/>
      <c r="B24" s="251"/>
      <c r="C24" s="12"/>
      <c r="D24" s="74"/>
      <c r="E24" s="75"/>
      <c r="F24" s="12"/>
      <c r="G24" s="12"/>
      <c r="H24" s="76">
        <f t="shared" si="4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3"/>
      <c r="D25" s="93"/>
      <c r="E25" s="89"/>
      <c r="F25" s="12"/>
      <c r="G25" s="12"/>
      <c r="H25" s="76">
        <f t="shared" si="4"/>
        <v>0</v>
      </c>
      <c r="I25" s="77">
        <f t="shared" si="3"/>
        <v>0</v>
      </c>
    </row>
    <row r="26" spans="1:9" s="57" customFormat="1" ht="18" customHeight="1">
      <c r="A26" s="154"/>
      <c r="B26" s="190"/>
      <c r="C26" s="74"/>
      <c r="D26" s="74"/>
      <c r="E26" s="75"/>
      <c r="F26" s="73"/>
      <c r="G26" s="73"/>
      <c r="H26" s="76">
        <f t="shared" si="4"/>
        <v>0</v>
      </c>
      <c r="I26" s="77">
        <f t="shared" si="3"/>
        <v>0</v>
      </c>
    </row>
    <row r="27" spans="1:9" s="57" customFormat="1" ht="18" customHeight="1">
      <c r="A27" s="154"/>
      <c r="B27" s="190"/>
      <c r="C27" s="74"/>
      <c r="D27" s="93"/>
      <c r="E27" s="89"/>
      <c r="F27" s="73"/>
      <c r="G27" s="73"/>
      <c r="H27" s="76">
        <f t="shared" si="4"/>
        <v>0</v>
      </c>
      <c r="I27" s="77">
        <f t="shared" si="3"/>
        <v>0</v>
      </c>
    </row>
    <row r="28" spans="1:9" ht="18" customHeight="1">
      <c r="A28" s="1"/>
      <c r="B28" s="3"/>
      <c r="C28" s="107"/>
      <c r="D28" s="108">
        <f>SUM(D4:D27)</f>
        <v>512</v>
      </c>
      <c r="E28" s="107"/>
      <c r="F28" s="3"/>
      <c r="G28" s="109">
        <f>SUM(G4:G27)</f>
        <v>39</v>
      </c>
      <c r="H28" s="109">
        <f>SUM(H4:H27)</f>
        <v>6600000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.28125" style="15" customWidth="1"/>
    <col min="2" max="2" width="25.421875" style="15" customWidth="1"/>
    <col min="3" max="3" width="15.421875" style="16" customWidth="1"/>
    <col min="4" max="6" width="10.7109375" style="17" customWidth="1"/>
    <col min="7" max="10" width="9.7109375" style="17" customWidth="1"/>
    <col min="11" max="11" width="10.140625" style="17" customWidth="1"/>
    <col min="12" max="12" width="9.7109375" style="17" customWidth="1"/>
    <col min="13" max="13" width="10.28125" style="17" customWidth="1"/>
    <col min="14" max="16" width="9.7109375" style="17" customWidth="1"/>
    <col min="17" max="25" width="10.28125" style="17" customWidth="1"/>
    <col min="26" max="30" width="9.7109375" style="17" customWidth="1"/>
    <col min="31" max="34" width="8.7109375" style="17" customWidth="1"/>
    <col min="35" max="37" width="8.7109375" style="15" customWidth="1"/>
    <col min="38" max="38" width="8.7109375" style="15" bestFit="1" customWidth="1"/>
    <col min="39" max="39" width="9.8515625" style="15" customWidth="1"/>
    <col min="40" max="16384" width="9.140625" style="15" customWidth="1"/>
  </cols>
  <sheetData>
    <row r="1" spans="3:34" ht="24.75" customHeight="1">
      <c r="C1" s="18" t="s">
        <v>54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2:39" s="20" customFormat="1" ht="57" customHeight="1">
      <c r="B2" s="21"/>
      <c r="C2" s="31" t="s">
        <v>55</v>
      </c>
      <c r="D2" s="188">
        <v>42651</v>
      </c>
      <c r="E2" s="188">
        <v>42649</v>
      </c>
      <c r="F2" s="188">
        <v>42642</v>
      </c>
      <c r="G2" s="188">
        <v>42635</v>
      </c>
      <c r="H2" s="188">
        <v>42628</v>
      </c>
      <c r="I2" s="188">
        <v>42621</v>
      </c>
      <c r="J2" s="188">
        <v>42614</v>
      </c>
      <c r="K2" s="188" t="s">
        <v>196</v>
      </c>
      <c r="L2" s="188" t="s">
        <v>197</v>
      </c>
      <c r="M2" s="188">
        <v>42607</v>
      </c>
      <c r="N2" s="188">
        <v>42600</v>
      </c>
      <c r="O2" s="188">
        <v>42593</v>
      </c>
      <c r="P2" s="188">
        <v>42586</v>
      </c>
      <c r="Q2" s="188">
        <v>42579</v>
      </c>
      <c r="R2" s="188">
        <v>42572</v>
      </c>
      <c r="S2" s="188">
        <v>42565</v>
      </c>
      <c r="T2" s="188">
        <v>42558</v>
      </c>
      <c r="U2" s="188">
        <v>42551</v>
      </c>
      <c r="V2" s="188">
        <v>42544</v>
      </c>
      <c r="W2" s="188">
        <v>42537</v>
      </c>
      <c r="X2" s="188">
        <v>42530</v>
      </c>
      <c r="Y2" s="188">
        <v>42523</v>
      </c>
      <c r="Z2" s="188" t="s">
        <v>198</v>
      </c>
      <c r="AA2" s="188" t="s">
        <v>199</v>
      </c>
      <c r="AB2" s="188">
        <v>42516</v>
      </c>
      <c r="AC2" s="188">
        <v>42509</v>
      </c>
      <c r="AD2" s="188">
        <v>42502</v>
      </c>
      <c r="AE2" s="188">
        <v>42495</v>
      </c>
      <c r="AF2" s="188">
        <v>42488</v>
      </c>
      <c r="AG2" s="188">
        <v>42481</v>
      </c>
      <c r="AH2" s="188">
        <v>42474</v>
      </c>
      <c r="AI2" s="188">
        <v>42467</v>
      </c>
      <c r="AJ2" s="188">
        <v>42460</v>
      </c>
      <c r="AK2" s="188">
        <v>42453</v>
      </c>
      <c r="AL2" s="188">
        <v>42446</v>
      </c>
      <c r="AM2" s="23" t="s">
        <v>56</v>
      </c>
    </row>
    <row r="3" spans="2:39" ht="15.75">
      <c r="B3" s="137" t="s">
        <v>31</v>
      </c>
      <c r="C3" s="143">
        <f aca="true" t="shared" si="0" ref="C3:C26">SUM(D3:AL3)</f>
        <v>24700000</v>
      </c>
      <c r="D3" s="144"/>
      <c r="E3" s="144">
        <v>2300000</v>
      </c>
      <c r="F3" s="144">
        <v>370000</v>
      </c>
      <c r="G3" s="145">
        <v>50000</v>
      </c>
      <c r="H3" s="145">
        <v>50000</v>
      </c>
      <c r="I3" s="145">
        <v>1910000</v>
      </c>
      <c r="J3" s="145">
        <v>150000</v>
      </c>
      <c r="K3" s="145">
        <v>1400000</v>
      </c>
      <c r="L3" s="145">
        <v>950000</v>
      </c>
      <c r="M3" s="145">
        <v>290000</v>
      </c>
      <c r="N3" s="145">
        <v>1550000</v>
      </c>
      <c r="O3" s="145">
        <v>50000</v>
      </c>
      <c r="P3" s="145">
        <v>490000</v>
      </c>
      <c r="Q3" s="145">
        <v>1010000</v>
      </c>
      <c r="R3" s="145">
        <v>950000</v>
      </c>
      <c r="S3" s="145">
        <v>850000</v>
      </c>
      <c r="T3" s="145">
        <v>50000</v>
      </c>
      <c r="U3" s="145">
        <v>50000</v>
      </c>
      <c r="V3" s="145">
        <v>1250000</v>
      </c>
      <c r="W3" s="145">
        <v>2050000</v>
      </c>
      <c r="X3" s="145">
        <v>650000</v>
      </c>
      <c r="Y3" s="145">
        <v>950000</v>
      </c>
      <c r="Z3" s="145"/>
      <c r="AA3" s="145"/>
      <c r="AB3" s="145"/>
      <c r="AC3" s="145">
        <v>770000</v>
      </c>
      <c r="AD3" s="145">
        <v>950000</v>
      </c>
      <c r="AE3" s="145"/>
      <c r="AF3" s="145">
        <v>1250000</v>
      </c>
      <c r="AG3" s="145">
        <v>530000</v>
      </c>
      <c r="AH3" s="145">
        <v>770000</v>
      </c>
      <c r="AI3" s="145">
        <v>1110000</v>
      </c>
      <c r="AJ3" s="145">
        <v>1250000</v>
      </c>
      <c r="AK3" s="145">
        <v>650000</v>
      </c>
      <c r="AL3" s="145">
        <v>50000</v>
      </c>
      <c r="AM3" s="146">
        <f>COUNTIF(G3:AL3,"&gt;0")</f>
        <v>28</v>
      </c>
    </row>
    <row r="4" spans="2:39" ht="15.75">
      <c r="B4" s="139" t="s">
        <v>33</v>
      </c>
      <c r="C4" s="147">
        <f t="shared" si="0"/>
        <v>22570000</v>
      </c>
      <c r="D4" s="144"/>
      <c r="E4" s="144">
        <v>950000</v>
      </c>
      <c r="F4" s="144">
        <v>2050000</v>
      </c>
      <c r="G4" s="145">
        <v>750000</v>
      </c>
      <c r="H4" s="145">
        <v>410000</v>
      </c>
      <c r="I4" s="145">
        <v>50000</v>
      </c>
      <c r="J4" s="145">
        <v>530000</v>
      </c>
      <c r="K4" s="145">
        <v>1050000</v>
      </c>
      <c r="L4" s="145">
        <v>950000</v>
      </c>
      <c r="M4" s="145">
        <v>50000</v>
      </c>
      <c r="N4" s="145">
        <v>950000</v>
      </c>
      <c r="O4" s="145"/>
      <c r="P4" s="145">
        <v>870000</v>
      </c>
      <c r="Q4" s="145">
        <v>50000</v>
      </c>
      <c r="R4" s="145">
        <v>650000</v>
      </c>
      <c r="S4" s="145">
        <v>2050000</v>
      </c>
      <c r="T4" s="145">
        <v>530000</v>
      </c>
      <c r="U4" s="145">
        <v>950000</v>
      </c>
      <c r="V4" s="145"/>
      <c r="W4" s="145">
        <v>1250000</v>
      </c>
      <c r="X4" s="145">
        <v>1250000</v>
      </c>
      <c r="Y4" s="145">
        <v>1650000</v>
      </c>
      <c r="Z4" s="145">
        <v>800000</v>
      </c>
      <c r="AA4" s="145">
        <v>800000</v>
      </c>
      <c r="AB4" s="145"/>
      <c r="AC4" s="145"/>
      <c r="AD4" s="145">
        <v>410000</v>
      </c>
      <c r="AE4" s="145">
        <v>50000</v>
      </c>
      <c r="AF4" s="145">
        <v>50000</v>
      </c>
      <c r="AG4" s="145">
        <v>410000</v>
      </c>
      <c r="AH4" s="145"/>
      <c r="AI4" s="145">
        <v>2050000</v>
      </c>
      <c r="AJ4" s="145">
        <v>1010000</v>
      </c>
      <c r="AK4" s="145"/>
      <c r="AL4" s="145"/>
      <c r="AM4" s="146">
        <f aca="true" t="shared" si="1" ref="AM4:AM17">COUNTIF(D4:AL4,"&gt;0")</f>
        <v>27</v>
      </c>
    </row>
    <row r="5" spans="1:39" s="24" customFormat="1" ht="15.75">
      <c r="A5" s="25"/>
      <c r="B5" s="141" t="s">
        <v>11</v>
      </c>
      <c r="C5" s="148">
        <f t="shared" si="0"/>
        <v>20880000</v>
      </c>
      <c r="D5" s="144"/>
      <c r="E5" s="144"/>
      <c r="F5" s="144">
        <v>1010000</v>
      </c>
      <c r="G5" s="145">
        <v>1450000</v>
      </c>
      <c r="H5" s="145">
        <v>50000</v>
      </c>
      <c r="I5" s="145">
        <v>1250000</v>
      </c>
      <c r="J5" s="145">
        <v>1610000</v>
      </c>
      <c r="K5" s="145">
        <v>50000</v>
      </c>
      <c r="L5" s="145">
        <v>50000</v>
      </c>
      <c r="M5" s="145">
        <v>1250000</v>
      </c>
      <c r="N5" s="145">
        <v>50000</v>
      </c>
      <c r="O5" s="145">
        <v>1250000</v>
      </c>
      <c r="P5" s="145">
        <v>1550000</v>
      </c>
      <c r="Q5" s="145">
        <v>1250000</v>
      </c>
      <c r="R5" s="145"/>
      <c r="S5" s="145"/>
      <c r="T5" s="145">
        <v>50000</v>
      </c>
      <c r="U5" s="145">
        <v>50000</v>
      </c>
      <c r="V5" s="145">
        <v>50000</v>
      </c>
      <c r="W5" s="145">
        <v>850000</v>
      </c>
      <c r="X5" s="145">
        <v>1550000</v>
      </c>
      <c r="Y5" s="145">
        <v>770000</v>
      </c>
      <c r="Z5" s="145">
        <v>550000</v>
      </c>
      <c r="AA5" s="145">
        <v>1050000</v>
      </c>
      <c r="AB5" s="145">
        <v>650000</v>
      </c>
      <c r="AC5" s="145">
        <v>650000</v>
      </c>
      <c r="AD5" s="145">
        <v>50000</v>
      </c>
      <c r="AE5" s="145"/>
      <c r="AF5" s="145">
        <v>770000</v>
      </c>
      <c r="AG5" s="145">
        <v>770000</v>
      </c>
      <c r="AH5" s="145">
        <v>50000</v>
      </c>
      <c r="AI5" s="145">
        <v>1650000</v>
      </c>
      <c r="AJ5" s="145">
        <v>50000</v>
      </c>
      <c r="AK5" s="145">
        <v>50000</v>
      </c>
      <c r="AL5" s="145">
        <v>450000</v>
      </c>
      <c r="AM5" s="146">
        <f t="shared" si="1"/>
        <v>30</v>
      </c>
    </row>
    <row r="6" spans="1:39" s="25" customFormat="1" ht="15.75">
      <c r="A6" s="15"/>
      <c r="B6" s="130" t="s">
        <v>13</v>
      </c>
      <c r="C6" s="149">
        <f t="shared" si="0"/>
        <v>17360000</v>
      </c>
      <c r="D6" s="145"/>
      <c r="E6" s="145">
        <v>1850000</v>
      </c>
      <c r="F6" s="145"/>
      <c r="G6" s="145">
        <v>1100000</v>
      </c>
      <c r="H6" s="145">
        <v>410000</v>
      </c>
      <c r="I6" s="145"/>
      <c r="J6" s="145">
        <v>1050000</v>
      </c>
      <c r="K6" s="145">
        <v>300000</v>
      </c>
      <c r="L6" s="145">
        <v>50000</v>
      </c>
      <c r="M6" s="145"/>
      <c r="N6" s="145"/>
      <c r="O6" s="145">
        <v>50000</v>
      </c>
      <c r="P6" s="145">
        <v>50000</v>
      </c>
      <c r="Q6" s="145"/>
      <c r="R6" s="145"/>
      <c r="S6" s="145">
        <v>1650000</v>
      </c>
      <c r="T6" s="355"/>
      <c r="U6" s="145">
        <v>650000</v>
      </c>
      <c r="V6" s="145"/>
      <c r="W6" s="145">
        <v>1650000</v>
      </c>
      <c r="X6" s="145">
        <v>530000</v>
      </c>
      <c r="Y6" s="145">
        <v>410000</v>
      </c>
      <c r="Z6" s="145">
        <v>650000</v>
      </c>
      <c r="AA6" s="145">
        <v>550000</v>
      </c>
      <c r="AB6" s="145">
        <v>950000</v>
      </c>
      <c r="AC6" s="145">
        <v>50000</v>
      </c>
      <c r="AD6" s="145"/>
      <c r="AE6" s="145">
        <v>1250000</v>
      </c>
      <c r="AF6" s="145">
        <v>410000</v>
      </c>
      <c r="AG6" s="145"/>
      <c r="AH6" s="145">
        <v>1550000</v>
      </c>
      <c r="AI6" s="145"/>
      <c r="AJ6" s="145">
        <v>1550000</v>
      </c>
      <c r="AK6" s="145"/>
      <c r="AL6" s="145">
        <v>650000</v>
      </c>
      <c r="AM6" s="146">
        <f t="shared" si="1"/>
        <v>22</v>
      </c>
    </row>
    <row r="7" spans="1:39" s="25" customFormat="1" ht="15.75">
      <c r="A7" s="15"/>
      <c r="B7" s="13" t="s">
        <v>49</v>
      </c>
      <c r="C7" s="150">
        <f t="shared" si="0"/>
        <v>16790000</v>
      </c>
      <c r="D7" s="145"/>
      <c r="E7" s="145">
        <v>1500000</v>
      </c>
      <c r="F7" s="145">
        <v>1250000</v>
      </c>
      <c r="G7" s="145">
        <v>330000</v>
      </c>
      <c r="H7" s="145">
        <v>290000</v>
      </c>
      <c r="I7" s="145">
        <v>650000</v>
      </c>
      <c r="J7" s="145"/>
      <c r="K7" s="145"/>
      <c r="L7" s="145"/>
      <c r="M7" s="145">
        <v>50000</v>
      </c>
      <c r="N7" s="145"/>
      <c r="O7" s="145"/>
      <c r="P7" s="145"/>
      <c r="Q7" s="145"/>
      <c r="R7" s="145"/>
      <c r="S7" s="145"/>
      <c r="T7" s="145">
        <v>1310000</v>
      </c>
      <c r="U7" s="145">
        <v>50000</v>
      </c>
      <c r="V7" s="145"/>
      <c r="W7" s="145">
        <v>370000</v>
      </c>
      <c r="X7" s="145">
        <v>950000</v>
      </c>
      <c r="Y7" s="145"/>
      <c r="Z7" s="145">
        <v>1600000</v>
      </c>
      <c r="AA7" s="145">
        <v>50000</v>
      </c>
      <c r="AB7" s="145">
        <v>1250000</v>
      </c>
      <c r="AC7" s="145">
        <v>1550000</v>
      </c>
      <c r="AD7" s="145">
        <v>150000</v>
      </c>
      <c r="AE7" s="145">
        <v>770000</v>
      </c>
      <c r="AF7" s="145">
        <v>290000</v>
      </c>
      <c r="AG7" s="145">
        <v>1250000</v>
      </c>
      <c r="AH7" s="145">
        <v>1250000</v>
      </c>
      <c r="AI7" s="145">
        <v>1830000</v>
      </c>
      <c r="AJ7" s="145">
        <v>50000</v>
      </c>
      <c r="AK7" s="145"/>
      <c r="AL7" s="145"/>
      <c r="AM7" s="146">
        <f t="shared" si="1"/>
        <v>21</v>
      </c>
    </row>
    <row r="8" spans="1:39" ht="15.75">
      <c r="A8" s="25"/>
      <c r="B8" s="13" t="s">
        <v>29</v>
      </c>
      <c r="C8" s="150">
        <f t="shared" si="0"/>
        <v>14640000</v>
      </c>
      <c r="D8" s="145"/>
      <c r="E8" s="145">
        <v>590000</v>
      </c>
      <c r="F8" s="145">
        <v>850000</v>
      </c>
      <c r="G8" s="145">
        <v>50000</v>
      </c>
      <c r="H8" s="145">
        <v>950000</v>
      </c>
      <c r="I8" s="145">
        <v>50000</v>
      </c>
      <c r="J8" s="145">
        <v>750000</v>
      </c>
      <c r="K8" s="145">
        <v>50000</v>
      </c>
      <c r="L8" s="145">
        <v>50000</v>
      </c>
      <c r="M8" s="145">
        <v>50000</v>
      </c>
      <c r="N8" s="145">
        <v>530000</v>
      </c>
      <c r="O8" s="145">
        <v>50000</v>
      </c>
      <c r="P8" s="145">
        <v>50000</v>
      </c>
      <c r="Q8" s="145">
        <v>50000</v>
      </c>
      <c r="R8" s="145">
        <v>1910000</v>
      </c>
      <c r="S8" s="145">
        <v>50000</v>
      </c>
      <c r="T8" s="145"/>
      <c r="U8" s="145">
        <v>50000</v>
      </c>
      <c r="V8" s="145">
        <v>950000</v>
      </c>
      <c r="W8" s="145">
        <v>50000</v>
      </c>
      <c r="X8" s="145">
        <v>50000</v>
      </c>
      <c r="Y8" s="145">
        <v>1250000</v>
      </c>
      <c r="Z8" s="145"/>
      <c r="AA8" s="145"/>
      <c r="AB8" s="145">
        <v>50000</v>
      </c>
      <c r="AC8" s="145">
        <v>890000</v>
      </c>
      <c r="AD8" s="145">
        <v>390000</v>
      </c>
      <c r="AE8" s="145">
        <v>290000</v>
      </c>
      <c r="AF8" s="145">
        <v>1550000</v>
      </c>
      <c r="AG8" s="145">
        <v>50000</v>
      </c>
      <c r="AH8" s="145">
        <v>290000</v>
      </c>
      <c r="AI8" s="145">
        <v>850000</v>
      </c>
      <c r="AJ8" s="145">
        <v>50000</v>
      </c>
      <c r="AK8" s="145">
        <v>1050000</v>
      </c>
      <c r="AL8" s="145">
        <v>800000</v>
      </c>
      <c r="AM8" s="146">
        <f t="shared" si="1"/>
        <v>31</v>
      </c>
    </row>
    <row r="9" spans="2:39" ht="15.75">
      <c r="B9" s="13" t="s">
        <v>19</v>
      </c>
      <c r="C9" s="150">
        <f t="shared" si="0"/>
        <v>14540000</v>
      </c>
      <c r="D9" s="145"/>
      <c r="E9" s="145">
        <v>50000</v>
      </c>
      <c r="F9" s="145">
        <v>690000</v>
      </c>
      <c r="G9" s="145"/>
      <c r="H9" s="145">
        <v>1550000</v>
      </c>
      <c r="I9" s="145">
        <v>50000</v>
      </c>
      <c r="J9" s="145">
        <v>50000</v>
      </c>
      <c r="K9" s="145"/>
      <c r="L9" s="145"/>
      <c r="M9" s="145">
        <v>650000</v>
      </c>
      <c r="N9" s="145">
        <v>50000</v>
      </c>
      <c r="O9" s="145">
        <v>530000</v>
      </c>
      <c r="P9" s="145">
        <v>410000</v>
      </c>
      <c r="Q9" s="145"/>
      <c r="R9" s="145">
        <v>1250000</v>
      </c>
      <c r="S9" s="145">
        <v>1010000</v>
      </c>
      <c r="T9" s="145">
        <v>770000</v>
      </c>
      <c r="U9" s="145">
        <v>950000</v>
      </c>
      <c r="V9" s="145">
        <v>770000</v>
      </c>
      <c r="W9" s="145">
        <v>530000</v>
      </c>
      <c r="X9" s="145">
        <v>410000</v>
      </c>
      <c r="Y9" s="145">
        <v>750000</v>
      </c>
      <c r="Z9" s="145">
        <v>350000</v>
      </c>
      <c r="AA9" s="145">
        <v>250000</v>
      </c>
      <c r="AB9" s="145">
        <v>410000</v>
      </c>
      <c r="AC9" s="145">
        <v>50000</v>
      </c>
      <c r="AD9" s="145">
        <v>50000</v>
      </c>
      <c r="AE9" s="145">
        <v>50000</v>
      </c>
      <c r="AF9" s="145"/>
      <c r="AG9" s="145">
        <v>290000</v>
      </c>
      <c r="AH9" s="145">
        <v>50000</v>
      </c>
      <c r="AI9" s="145">
        <v>690000</v>
      </c>
      <c r="AJ9" s="145">
        <v>530000</v>
      </c>
      <c r="AK9" s="145">
        <v>800000</v>
      </c>
      <c r="AL9" s="145">
        <v>550000</v>
      </c>
      <c r="AM9" s="146">
        <f t="shared" si="1"/>
        <v>29</v>
      </c>
    </row>
    <row r="10" spans="2:39" ht="15.75">
      <c r="B10" s="13" t="s">
        <v>37</v>
      </c>
      <c r="C10" s="150">
        <f t="shared" si="0"/>
        <v>11610000</v>
      </c>
      <c r="D10" s="145"/>
      <c r="E10" s="145"/>
      <c r="F10" s="145"/>
      <c r="G10" s="145">
        <v>1800000</v>
      </c>
      <c r="H10" s="145">
        <v>50000</v>
      </c>
      <c r="I10" s="145"/>
      <c r="J10" s="145">
        <v>770000</v>
      </c>
      <c r="K10" s="145">
        <v>550000</v>
      </c>
      <c r="L10" s="145">
        <v>400000</v>
      </c>
      <c r="M10" s="145">
        <v>50000</v>
      </c>
      <c r="N10" s="145">
        <v>50000</v>
      </c>
      <c r="O10" s="145">
        <v>290000</v>
      </c>
      <c r="P10" s="145"/>
      <c r="Q10" s="145">
        <v>2050000</v>
      </c>
      <c r="R10" s="145"/>
      <c r="S10" s="145">
        <v>530000</v>
      </c>
      <c r="T10" s="145">
        <v>1250000</v>
      </c>
      <c r="U10" s="145">
        <v>360000</v>
      </c>
      <c r="V10" s="145">
        <v>1910000</v>
      </c>
      <c r="W10" s="145"/>
      <c r="X10" s="145">
        <v>50000</v>
      </c>
      <c r="Y10" s="145"/>
      <c r="Z10" s="145"/>
      <c r="AA10" s="145"/>
      <c r="AB10" s="145">
        <v>50000</v>
      </c>
      <c r="AC10" s="145">
        <v>50000</v>
      </c>
      <c r="AD10" s="145"/>
      <c r="AE10" s="145"/>
      <c r="AF10" s="145">
        <v>50000</v>
      </c>
      <c r="AG10" s="145"/>
      <c r="AH10" s="145"/>
      <c r="AI10" s="145">
        <v>50000</v>
      </c>
      <c r="AJ10" s="145"/>
      <c r="AK10" s="145">
        <v>1300000</v>
      </c>
      <c r="AL10" s="145"/>
      <c r="AM10" s="146">
        <f t="shared" si="1"/>
        <v>19</v>
      </c>
    </row>
    <row r="11" spans="2:39" ht="15.75">
      <c r="B11" s="13" t="s">
        <v>39</v>
      </c>
      <c r="C11" s="150">
        <f t="shared" si="0"/>
        <v>10950000</v>
      </c>
      <c r="D11" s="145"/>
      <c r="E11" s="145">
        <v>50000</v>
      </c>
      <c r="F11" s="145">
        <v>1650000</v>
      </c>
      <c r="G11" s="145"/>
      <c r="H11" s="145">
        <v>50000</v>
      </c>
      <c r="I11" s="145">
        <v>50000</v>
      </c>
      <c r="J11" s="145">
        <v>250000</v>
      </c>
      <c r="K11" s="145"/>
      <c r="L11" s="145"/>
      <c r="M11" s="145">
        <v>50000</v>
      </c>
      <c r="N11" s="145">
        <v>1130000</v>
      </c>
      <c r="O11" s="145">
        <v>1130000</v>
      </c>
      <c r="P11" s="145">
        <v>950000</v>
      </c>
      <c r="Q11" s="145"/>
      <c r="R11" s="145"/>
      <c r="S11" s="145"/>
      <c r="T11" s="145">
        <v>650000</v>
      </c>
      <c r="U11" s="145">
        <v>1250000</v>
      </c>
      <c r="V11" s="145">
        <v>750000</v>
      </c>
      <c r="W11" s="145">
        <v>690000</v>
      </c>
      <c r="X11" s="145">
        <v>50000</v>
      </c>
      <c r="Y11" s="145"/>
      <c r="Z11" s="145">
        <v>350000</v>
      </c>
      <c r="AA11" s="145">
        <v>50000</v>
      </c>
      <c r="AB11" s="145"/>
      <c r="AC11" s="145">
        <v>50000</v>
      </c>
      <c r="AD11" s="145">
        <v>770000</v>
      </c>
      <c r="AE11" s="145"/>
      <c r="AF11" s="145">
        <v>50000</v>
      </c>
      <c r="AG11" s="145">
        <v>50000</v>
      </c>
      <c r="AH11" s="145">
        <v>530000</v>
      </c>
      <c r="AI11" s="145">
        <v>50000</v>
      </c>
      <c r="AJ11" s="145"/>
      <c r="AK11" s="145">
        <v>350000</v>
      </c>
      <c r="AL11" s="145"/>
      <c r="AM11" s="146">
        <f t="shared" si="1"/>
        <v>23</v>
      </c>
    </row>
    <row r="12" spans="2:39" ht="15.75">
      <c r="B12" s="13" t="s">
        <v>43</v>
      </c>
      <c r="C12" s="150">
        <f t="shared" si="0"/>
        <v>10690000</v>
      </c>
      <c r="D12" s="145"/>
      <c r="E12" s="145">
        <v>590000</v>
      </c>
      <c r="F12" s="145">
        <v>50000</v>
      </c>
      <c r="G12" s="145">
        <v>890000</v>
      </c>
      <c r="H12" s="145">
        <v>50000</v>
      </c>
      <c r="I12" s="145">
        <v>410000</v>
      </c>
      <c r="J12" s="145">
        <v>390000</v>
      </c>
      <c r="K12" s="145">
        <v>1350000</v>
      </c>
      <c r="L12" s="145">
        <v>950000</v>
      </c>
      <c r="M12" s="145">
        <v>410000</v>
      </c>
      <c r="N12" s="145">
        <v>650000</v>
      </c>
      <c r="O12" s="145">
        <v>50000</v>
      </c>
      <c r="P12" s="145">
        <v>50000</v>
      </c>
      <c r="Q12" s="145">
        <v>50000</v>
      </c>
      <c r="R12" s="145"/>
      <c r="S12" s="145">
        <v>1170000</v>
      </c>
      <c r="T12" s="145">
        <v>50000</v>
      </c>
      <c r="U12" s="145">
        <v>50000</v>
      </c>
      <c r="V12" s="145">
        <v>530000</v>
      </c>
      <c r="W12" s="145">
        <v>50000</v>
      </c>
      <c r="X12" s="145">
        <v>50000</v>
      </c>
      <c r="Y12" s="145">
        <v>150000</v>
      </c>
      <c r="Z12" s="145">
        <v>250000</v>
      </c>
      <c r="AA12" s="145">
        <v>50000</v>
      </c>
      <c r="AB12" s="145">
        <v>50000</v>
      </c>
      <c r="AC12" s="145">
        <v>50000</v>
      </c>
      <c r="AD12" s="145">
        <v>50000</v>
      </c>
      <c r="AE12" s="145">
        <v>530000</v>
      </c>
      <c r="AF12" s="145">
        <v>50000</v>
      </c>
      <c r="AG12" s="145">
        <v>50000</v>
      </c>
      <c r="AH12" s="145">
        <v>50000</v>
      </c>
      <c r="AI12" s="145">
        <v>50000</v>
      </c>
      <c r="AJ12" s="145">
        <v>870000</v>
      </c>
      <c r="AK12" s="145">
        <v>450000</v>
      </c>
      <c r="AL12" s="145">
        <v>250000</v>
      </c>
      <c r="AM12" s="146">
        <f t="shared" si="1"/>
        <v>33</v>
      </c>
    </row>
    <row r="13" spans="1:39" s="25" customFormat="1" ht="15.75">
      <c r="A13" s="15"/>
      <c r="B13" s="13" t="s">
        <v>53</v>
      </c>
      <c r="C13" s="150">
        <f t="shared" si="0"/>
        <v>10330000</v>
      </c>
      <c r="D13" s="145"/>
      <c r="E13" s="145"/>
      <c r="F13" s="145"/>
      <c r="G13" s="145"/>
      <c r="H13" s="145"/>
      <c r="I13" s="145">
        <v>290000</v>
      </c>
      <c r="J13" s="145"/>
      <c r="K13" s="145"/>
      <c r="L13" s="145"/>
      <c r="M13" s="145">
        <v>50000</v>
      </c>
      <c r="N13" s="145"/>
      <c r="O13" s="145">
        <v>650000</v>
      </c>
      <c r="P13" s="145"/>
      <c r="Q13" s="145">
        <v>1010000</v>
      </c>
      <c r="R13" s="145"/>
      <c r="S13" s="145">
        <v>370000</v>
      </c>
      <c r="T13" s="145">
        <v>1550000</v>
      </c>
      <c r="U13" s="145">
        <v>1250000</v>
      </c>
      <c r="V13" s="145"/>
      <c r="W13" s="145">
        <v>530000</v>
      </c>
      <c r="X13" s="145">
        <v>50000</v>
      </c>
      <c r="Y13" s="145"/>
      <c r="Z13" s="145">
        <v>1050000</v>
      </c>
      <c r="AA13" s="145">
        <v>650000</v>
      </c>
      <c r="AB13" s="145"/>
      <c r="AC13" s="145">
        <v>50000</v>
      </c>
      <c r="AD13" s="145">
        <v>410000</v>
      </c>
      <c r="AE13" s="145">
        <v>1550000</v>
      </c>
      <c r="AF13" s="145">
        <v>530000</v>
      </c>
      <c r="AG13" s="145"/>
      <c r="AH13" s="145">
        <v>50000</v>
      </c>
      <c r="AI13" s="145"/>
      <c r="AJ13" s="145">
        <v>290000</v>
      </c>
      <c r="AK13" s="145"/>
      <c r="AL13" s="145"/>
      <c r="AM13" s="146">
        <f t="shared" si="1"/>
        <v>17</v>
      </c>
    </row>
    <row r="14" spans="2:39" ht="15.75">
      <c r="B14" s="13" t="s">
        <v>172</v>
      </c>
      <c r="C14" s="150">
        <f t="shared" si="0"/>
        <v>10090000</v>
      </c>
      <c r="D14" s="145"/>
      <c r="E14" s="145"/>
      <c r="F14" s="145"/>
      <c r="G14" s="145">
        <v>610000</v>
      </c>
      <c r="H14" s="145">
        <v>770000</v>
      </c>
      <c r="I14" s="145">
        <v>770000</v>
      </c>
      <c r="J14" s="145"/>
      <c r="K14" s="145"/>
      <c r="L14" s="145"/>
      <c r="M14" s="145"/>
      <c r="N14" s="145">
        <v>410000</v>
      </c>
      <c r="O14" s="145"/>
      <c r="P14" s="145">
        <v>650000</v>
      </c>
      <c r="Q14" s="145"/>
      <c r="R14" s="145"/>
      <c r="S14" s="145"/>
      <c r="T14" s="145">
        <v>250000</v>
      </c>
      <c r="U14" s="145">
        <v>50000</v>
      </c>
      <c r="V14" s="145"/>
      <c r="W14" s="145"/>
      <c r="X14" s="145"/>
      <c r="Y14" s="145">
        <v>410000</v>
      </c>
      <c r="Z14" s="145">
        <v>450000</v>
      </c>
      <c r="AA14" s="145">
        <v>1300000</v>
      </c>
      <c r="AB14" s="145">
        <v>770000</v>
      </c>
      <c r="AC14" s="145"/>
      <c r="AD14" s="145"/>
      <c r="AE14" s="145"/>
      <c r="AF14" s="145">
        <v>950000</v>
      </c>
      <c r="AG14" s="145">
        <v>50000</v>
      </c>
      <c r="AH14" s="145"/>
      <c r="AI14" s="145"/>
      <c r="AJ14" s="145">
        <v>1050000</v>
      </c>
      <c r="AK14" s="145">
        <v>550000</v>
      </c>
      <c r="AL14" s="145">
        <v>1050000</v>
      </c>
      <c r="AM14" s="146">
        <f t="shared" si="1"/>
        <v>16</v>
      </c>
    </row>
    <row r="15" spans="1:39" s="25" customFormat="1" ht="15.75">
      <c r="A15" s="15"/>
      <c r="B15" s="13" t="s">
        <v>9</v>
      </c>
      <c r="C15" s="150">
        <f t="shared" si="0"/>
        <v>9790000</v>
      </c>
      <c r="D15" s="145"/>
      <c r="E15" s="145">
        <v>410000</v>
      </c>
      <c r="F15" s="145">
        <v>50000</v>
      </c>
      <c r="G15" s="145">
        <v>50000</v>
      </c>
      <c r="H15" s="145">
        <v>650000</v>
      </c>
      <c r="I15" s="145"/>
      <c r="J15" s="145">
        <v>50000</v>
      </c>
      <c r="K15" s="145"/>
      <c r="L15" s="145"/>
      <c r="M15" s="145">
        <v>50000</v>
      </c>
      <c r="N15" s="145">
        <v>1250000</v>
      </c>
      <c r="O15" s="145">
        <v>50000</v>
      </c>
      <c r="P15" s="145">
        <v>50000</v>
      </c>
      <c r="Q15" s="145">
        <v>850000</v>
      </c>
      <c r="R15" s="145">
        <v>770000</v>
      </c>
      <c r="S15" s="145">
        <v>50000</v>
      </c>
      <c r="T15" s="145"/>
      <c r="U15" s="145"/>
      <c r="V15" s="145">
        <v>410000</v>
      </c>
      <c r="W15" s="145"/>
      <c r="X15" s="145">
        <v>290000</v>
      </c>
      <c r="Y15" s="145"/>
      <c r="Z15" s="145"/>
      <c r="AA15" s="145"/>
      <c r="AB15" s="145">
        <v>50000</v>
      </c>
      <c r="AC15" s="145">
        <v>950000</v>
      </c>
      <c r="AD15" s="145">
        <v>1650000</v>
      </c>
      <c r="AE15" s="145"/>
      <c r="AF15" s="145">
        <v>50000</v>
      </c>
      <c r="AG15" s="145">
        <v>1550000</v>
      </c>
      <c r="AH15" s="145">
        <v>50000</v>
      </c>
      <c r="AI15" s="145">
        <v>50000</v>
      </c>
      <c r="AJ15" s="145">
        <v>410000</v>
      </c>
      <c r="AK15" s="145"/>
      <c r="AL15" s="145">
        <v>50000</v>
      </c>
      <c r="AM15" s="146">
        <f t="shared" si="1"/>
        <v>23</v>
      </c>
    </row>
    <row r="16" spans="2:39" ht="15.75">
      <c r="B16" s="13" t="s">
        <v>35</v>
      </c>
      <c r="C16" s="150">
        <f t="shared" si="0"/>
        <v>8930000</v>
      </c>
      <c r="D16" s="145"/>
      <c r="E16" s="145">
        <v>50000</v>
      </c>
      <c r="F16" s="145">
        <v>50000</v>
      </c>
      <c r="G16" s="145">
        <v>50000</v>
      </c>
      <c r="H16" s="145"/>
      <c r="I16" s="145">
        <v>950000</v>
      </c>
      <c r="J16" s="145">
        <v>1650000</v>
      </c>
      <c r="K16" s="145"/>
      <c r="L16" s="145">
        <v>400000</v>
      </c>
      <c r="M16" s="145">
        <v>530000</v>
      </c>
      <c r="N16" s="145">
        <v>290000</v>
      </c>
      <c r="O16" s="145">
        <v>410000</v>
      </c>
      <c r="P16" s="145">
        <v>50000</v>
      </c>
      <c r="Q16" s="145"/>
      <c r="R16" s="145">
        <v>410000</v>
      </c>
      <c r="S16" s="145">
        <v>1250000</v>
      </c>
      <c r="T16" s="145">
        <v>50000</v>
      </c>
      <c r="U16" s="145">
        <v>50000</v>
      </c>
      <c r="V16" s="145"/>
      <c r="W16" s="145">
        <v>50000</v>
      </c>
      <c r="X16" s="145">
        <v>770000</v>
      </c>
      <c r="Y16" s="145">
        <v>50000</v>
      </c>
      <c r="Z16" s="145">
        <v>50000</v>
      </c>
      <c r="AA16" s="145">
        <v>50000</v>
      </c>
      <c r="AB16" s="145">
        <v>50000</v>
      </c>
      <c r="AC16" s="145">
        <v>410000</v>
      </c>
      <c r="AD16" s="145">
        <v>50000</v>
      </c>
      <c r="AE16" s="145">
        <v>50000</v>
      </c>
      <c r="AF16" s="145">
        <v>650000</v>
      </c>
      <c r="AG16" s="145">
        <v>410000</v>
      </c>
      <c r="AH16" s="145">
        <v>50000</v>
      </c>
      <c r="AI16" s="145">
        <v>50000</v>
      </c>
      <c r="AJ16" s="145">
        <v>50000</v>
      </c>
      <c r="AK16" s="145"/>
      <c r="AL16" s="145"/>
      <c r="AM16" s="146">
        <f t="shared" si="1"/>
        <v>28</v>
      </c>
    </row>
    <row r="17" spans="1:39" ht="15.75">
      <c r="A17" s="25"/>
      <c r="B17" s="13" t="s">
        <v>15</v>
      </c>
      <c r="C17" s="150">
        <f t="shared" si="0"/>
        <v>8800000</v>
      </c>
      <c r="D17" s="145"/>
      <c r="E17" s="145">
        <v>1130000</v>
      </c>
      <c r="F17" s="145"/>
      <c r="G17" s="145">
        <v>50000</v>
      </c>
      <c r="H17" s="145">
        <v>50000</v>
      </c>
      <c r="I17" s="145">
        <v>530000</v>
      </c>
      <c r="J17" s="145">
        <v>50000</v>
      </c>
      <c r="K17" s="145">
        <v>750000</v>
      </c>
      <c r="L17" s="145">
        <v>400000</v>
      </c>
      <c r="M17" s="145">
        <v>770000</v>
      </c>
      <c r="N17" s="145">
        <v>50000</v>
      </c>
      <c r="O17" s="145">
        <v>1550000</v>
      </c>
      <c r="P17" s="145">
        <v>1610000</v>
      </c>
      <c r="Q17" s="145">
        <v>50000</v>
      </c>
      <c r="R17" s="145"/>
      <c r="S17" s="145"/>
      <c r="T17" s="145"/>
      <c r="U17" s="145">
        <v>650000</v>
      </c>
      <c r="V17" s="145"/>
      <c r="W17" s="145"/>
      <c r="X17" s="145">
        <v>50000</v>
      </c>
      <c r="Y17" s="145">
        <v>50000</v>
      </c>
      <c r="Z17" s="145">
        <v>50000</v>
      </c>
      <c r="AA17" s="145">
        <v>450000</v>
      </c>
      <c r="AB17" s="145"/>
      <c r="AC17" s="145">
        <v>50000</v>
      </c>
      <c r="AD17" s="145"/>
      <c r="AE17" s="145"/>
      <c r="AF17" s="145"/>
      <c r="AG17" s="145">
        <v>50000</v>
      </c>
      <c r="AH17" s="145">
        <v>410000</v>
      </c>
      <c r="AI17" s="145"/>
      <c r="AJ17" s="145">
        <v>50000</v>
      </c>
      <c r="AK17" s="145"/>
      <c r="AL17" s="145"/>
      <c r="AM17" s="146">
        <f t="shared" si="1"/>
        <v>21</v>
      </c>
    </row>
    <row r="18" spans="2:39" ht="15.75">
      <c r="B18" s="13" t="s">
        <v>47</v>
      </c>
      <c r="C18" s="150">
        <f t="shared" si="0"/>
        <v>6980000</v>
      </c>
      <c r="D18" s="145"/>
      <c r="E18" s="145">
        <v>50000</v>
      </c>
      <c r="F18" s="145"/>
      <c r="G18" s="145">
        <v>50000</v>
      </c>
      <c r="H18" s="145">
        <v>50000</v>
      </c>
      <c r="I18" s="145"/>
      <c r="J18" s="145">
        <v>50000</v>
      </c>
      <c r="K18" s="145">
        <v>1300000</v>
      </c>
      <c r="L18" s="145">
        <v>950000</v>
      </c>
      <c r="M18" s="145">
        <v>50000</v>
      </c>
      <c r="N18" s="145">
        <v>50000</v>
      </c>
      <c r="O18" s="145">
        <v>950000</v>
      </c>
      <c r="P18" s="145">
        <v>50000</v>
      </c>
      <c r="Q18" s="145"/>
      <c r="R18" s="145">
        <v>290000</v>
      </c>
      <c r="S18" s="145">
        <v>50000</v>
      </c>
      <c r="T18" s="145"/>
      <c r="U18" s="145"/>
      <c r="V18" s="145"/>
      <c r="W18" s="145">
        <v>1010000</v>
      </c>
      <c r="X18" s="145">
        <v>50000</v>
      </c>
      <c r="Y18" s="145">
        <v>530000</v>
      </c>
      <c r="Z18" s="145"/>
      <c r="AA18" s="145"/>
      <c r="AB18" s="145">
        <v>50000</v>
      </c>
      <c r="AC18" s="145"/>
      <c r="AD18" s="145">
        <v>50000</v>
      </c>
      <c r="AE18" s="145"/>
      <c r="AF18" s="145"/>
      <c r="AG18" s="145">
        <v>950000</v>
      </c>
      <c r="AH18" s="263">
        <v>50000</v>
      </c>
      <c r="AI18" s="145">
        <v>50000</v>
      </c>
      <c r="AJ18" s="145"/>
      <c r="AK18" s="145"/>
      <c r="AL18" s="145">
        <v>350000</v>
      </c>
      <c r="AM18" s="146">
        <f>COUNTIF(G18:AL18,"&gt;0")</f>
        <v>20</v>
      </c>
    </row>
    <row r="19" spans="2:39" ht="15.75">
      <c r="B19" s="13" t="s">
        <v>27</v>
      </c>
      <c r="C19" s="150">
        <f t="shared" si="0"/>
        <v>6930000</v>
      </c>
      <c r="D19" s="145"/>
      <c r="E19" s="145"/>
      <c r="F19" s="145"/>
      <c r="G19" s="145">
        <v>470000</v>
      </c>
      <c r="H19" s="145">
        <v>1250000</v>
      </c>
      <c r="I19" s="145"/>
      <c r="J19" s="145">
        <v>50000</v>
      </c>
      <c r="K19" s="145"/>
      <c r="L19" s="145"/>
      <c r="M19" s="145"/>
      <c r="N19" s="145"/>
      <c r="O19" s="145"/>
      <c r="P19" s="145">
        <v>50000</v>
      </c>
      <c r="Q19" s="145">
        <v>1650000</v>
      </c>
      <c r="R19" s="145">
        <v>530000</v>
      </c>
      <c r="S19" s="145">
        <v>50000</v>
      </c>
      <c r="T19" s="145">
        <v>290000</v>
      </c>
      <c r="U19" s="145">
        <v>50000</v>
      </c>
      <c r="V19" s="145"/>
      <c r="W19" s="145">
        <v>50000</v>
      </c>
      <c r="X19" s="145">
        <v>410000</v>
      </c>
      <c r="Y19" s="145">
        <v>290000</v>
      </c>
      <c r="Z19" s="145">
        <v>50000</v>
      </c>
      <c r="AA19" s="145">
        <v>50000</v>
      </c>
      <c r="AB19" s="145"/>
      <c r="AC19" s="145">
        <v>290000</v>
      </c>
      <c r="AD19" s="145">
        <v>50000</v>
      </c>
      <c r="AE19" s="145"/>
      <c r="AF19" s="145"/>
      <c r="AG19" s="145">
        <v>50000</v>
      </c>
      <c r="AH19" s="263">
        <v>950000</v>
      </c>
      <c r="AI19" s="145">
        <v>50000</v>
      </c>
      <c r="AJ19" s="145">
        <v>50000</v>
      </c>
      <c r="AK19" s="145">
        <v>250000</v>
      </c>
      <c r="AL19" s="145"/>
      <c r="AM19" s="146">
        <f>COUNTIF(D19:AL19,"&gt;0")</f>
        <v>21</v>
      </c>
    </row>
    <row r="20" spans="1:39" ht="15.75">
      <c r="A20" s="25"/>
      <c r="B20" s="13" t="s">
        <v>41</v>
      </c>
      <c r="C20" s="150">
        <f t="shared" si="0"/>
        <v>6100000</v>
      </c>
      <c r="D20" s="145"/>
      <c r="E20" s="145">
        <v>50000</v>
      </c>
      <c r="F20" s="145">
        <v>50000</v>
      </c>
      <c r="G20" s="145">
        <v>50000</v>
      </c>
      <c r="H20" s="145">
        <v>530000</v>
      </c>
      <c r="I20" s="145">
        <v>50000</v>
      </c>
      <c r="J20" s="145">
        <v>50000</v>
      </c>
      <c r="K20" s="145"/>
      <c r="L20" s="145"/>
      <c r="M20" s="145">
        <v>50000</v>
      </c>
      <c r="N20" s="145">
        <v>50000</v>
      </c>
      <c r="O20" s="145">
        <v>50000</v>
      </c>
      <c r="P20" s="145">
        <v>50000</v>
      </c>
      <c r="Q20" s="145">
        <v>370000</v>
      </c>
      <c r="R20" s="145"/>
      <c r="S20" s="145"/>
      <c r="T20" s="354"/>
      <c r="U20" s="145"/>
      <c r="V20" s="145">
        <v>50000</v>
      </c>
      <c r="W20" s="145">
        <v>50000</v>
      </c>
      <c r="X20" s="145">
        <v>50000</v>
      </c>
      <c r="Y20" s="145"/>
      <c r="Z20" s="145"/>
      <c r="AA20" s="145"/>
      <c r="AB20" s="145">
        <v>1550000</v>
      </c>
      <c r="AC20" s="145">
        <v>50000</v>
      </c>
      <c r="AD20" s="145"/>
      <c r="AE20" s="145">
        <v>950000</v>
      </c>
      <c r="AF20" s="145"/>
      <c r="AG20" s="145">
        <v>650000</v>
      </c>
      <c r="AH20" s="263">
        <v>50000</v>
      </c>
      <c r="AI20" s="145">
        <v>50000</v>
      </c>
      <c r="AJ20" s="145"/>
      <c r="AK20" s="145"/>
      <c r="AL20" s="145">
        <v>1300000</v>
      </c>
      <c r="AM20" s="146">
        <f>COUNTIF(D20:AL20,"&gt;0")</f>
        <v>21</v>
      </c>
    </row>
    <row r="21" spans="2:39" ht="15.75">
      <c r="B21" s="13" t="s">
        <v>45</v>
      </c>
      <c r="C21" s="150">
        <f t="shared" si="0"/>
        <v>5620000</v>
      </c>
      <c r="D21" s="145"/>
      <c r="E21" s="145"/>
      <c r="F21" s="145">
        <v>530000</v>
      </c>
      <c r="G21" s="145"/>
      <c r="H21" s="145"/>
      <c r="I21" s="145">
        <v>50000</v>
      </c>
      <c r="J21" s="145">
        <v>50000</v>
      </c>
      <c r="K21" s="145">
        <v>350000</v>
      </c>
      <c r="L21" s="145">
        <v>50000</v>
      </c>
      <c r="M21" s="145">
        <v>950000</v>
      </c>
      <c r="N21" s="145">
        <v>50000</v>
      </c>
      <c r="O21" s="145">
        <v>50000</v>
      </c>
      <c r="P21" s="145"/>
      <c r="Q21" s="145"/>
      <c r="R21" s="145"/>
      <c r="S21" s="145"/>
      <c r="T21" s="145">
        <v>410000</v>
      </c>
      <c r="U21" s="145">
        <v>50000</v>
      </c>
      <c r="V21" s="145"/>
      <c r="W21" s="145"/>
      <c r="X21" s="145">
        <v>50000</v>
      </c>
      <c r="Y21" s="145">
        <v>50000</v>
      </c>
      <c r="Z21" s="145">
        <v>350000</v>
      </c>
      <c r="AA21" s="145">
        <v>350000</v>
      </c>
      <c r="AB21" s="145">
        <v>410000</v>
      </c>
      <c r="AC21" s="145">
        <v>50000</v>
      </c>
      <c r="AD21" s="145">
        <v>650000</v>
      </c>
      <c r="AE21" s="145">
        <v>650000</v>
      </c>
      <c r="AF21" s="145"/>
      <c r="AG21" s="145">
        <v>50000</v>
      </c>
      <c r="AH21" s="263"/>
      <c r="AI21" s="145">
        <v>370000</v>
      </c>
      <c r="AJ21" s="145">
        <v>50000</v>
      </c>
      <c r="AK21" s="145"/>
      <c r="AL21" s="145">
        <v>50000</v>
      </c>
      <c r="AM21" s="146">
        <f>COUNTIF(G21:AL21,"&gt;0")</f>
        <v>21</v>
      </c>
    </row>
    <row r="22" spans="2:39" ht="15.75">
      <c r="B22" s="13" t="s">
        <v>25</v>
      </c>
      <c r="C22" s="150">
        <f t="shared" si="0"/>
        <v>5530000</v>
      </c>
      <c r="D22" s="145"/>
      <c r="E22" s="145">
        <v>770000</v>
      </c>
      <c r="F22" s="145"/>
      <c r="G22" s="145"/>
      <c r="H22" s="145"/>
      <c r="I22" s="145"/>
      <c r="J22" s="145"/>
      <c r="K22" s="145"/>
      <c r="L22" s="145"/>
      <c r="M22" s="145">
        <v>1910000</v>
      </c>
      <c r="N22" s="145"/>
      <c r="O22" s="145"/>
      <c r="P22" s="145">
        <v>50000</v>
      </c>
      <c r="Q22" s="145">
        <v>690000</v>
      </c>
      <c r="R22" s="145"/>
      <c r="S22" s="145"/>
      <c r="T22" s="145">
        <v>50000</v>
      </c>
      <c r="U22" s="145"/>
      <c r="V22" s="145">
        <v>290000</v>
      </c>
      <c r="W22" s="145"/>
      <c r="X22" s="145">
        <v>50000</v>
      </c>
      <c r="Y22" s="145"/>
      <c r="Z22" s="145"/>
      <c r="AA22" s="145"/>
      <c r="AB22" s="145">
        <v>530000</v>
      </c>
      <c r="AC22" s="145">
        <v>50000</v>
      </c>
      <c r="AD22" s="145">
        <v>530000</v>
      </c>
      <c r="AE22" s="145"/>
      <c r="AF22" s="145">
        <v>50000</v>
      </c>
      <c r="AG22" s="145"/>
      <c r="AH22" s="374">
        <v>410000</v>
      </c>
      <c r="AI22" s="145">
        <v>50000</v>
      </c>
      <c r="AJ22" s="145">
        <v>50000</v>
      </c>
      <c r="AK22" s="145"/>
      <c r="AL22" s="145">
        <v>50000</v>
      </c>
      <c r="AM22" s="146">
        <f>COUNTIF(D22:AL22,"&gt;0")</f>
        <v>15</v>
      </c>
    </row>
    <row r="23" spans="2:39" ht="15.75">
      <c r="B23" s="13" t="s">
        <v>17</v>
      </c>
      <c r="C23" s="150">
        <f t="shared" si="0"/>
        <v>4410000</v>
      </c>
      <c r="D23" s="145"/>
      <c r="E23" s="145"/>
      <c r="F23" s="145">
        <v>530000</v>
      </c>
      <c r="G23" s="145">
        <v>50000</v>
      </c>
      <c r="H23" s="145">
        <v>50000</v>
      </c>
      <c r="I23" s="145"/>
      <c r="J23" s="145">
        <v>50000</v>
      </c>
      <c r="K23" s="145">
        <v>250000</v>
      </c>
      <c r="L23" s="145">
        <v>50000</v>
      </c>
      <c r="M23" s="145">
        <v>50000</v>
      </c>
      <c r="N23" s="145"/>
      <c r="O23" s="145">
        <v>50000</v>
      </c>
      <c r="P23" s="145">
        <v>50000</v>
      </c>
      <c r="Q23" s="145"/>
      <c r="R23" s="145"/>
      <c r="S23" s="145"/>
      <c r="T23" s="145">
        <v>150000</v>
      </c>
      <c r="U23" s="145">
        <v>350000</v>
      </c>
      <c r="V23" s="145"/>
      <c r="W23" s="145"/>
      <c r="X23" s="145"/>
      <c r="Y23" s="145">
        <v>150000</v>
      </c>
      <c r="Z23" s="145"/>
      <c r="AA23" s="145"/>
      <c r="AB23" s="145"/>
      <c r="AC23" s="145">
        <v>1250000</v>
      </c>
      <c r="AD23" s="145">
        <v>50000</v>
      </c>
      <c r="AE23" s="145">
        <v>770000</v>
      </c>
      <c r="AF23" s="145">
        <v>410000</v>
      </c>
      <c r="AG23" s="145">
        <v>50000</v>
      </c>
      <c r="AH23" s="263">
        <v>50000</v>
      </c>
      <c r="AI23" s="145">
        <v>50000</v>
      </c>
      <c r="AJ23" s="145"/>
      <c r="AK23" s="145"/>
      <c r="AL23" s="145"/>
      <c r="AM23" s="146">
        <f>COUNTIF(D23:AL23,"&gt;0")</f>
        <v>19</v>
      </c>
    </row>
    <row r="24" spans="2:39" ht="15.75">
      <c r="B24" s="13" t="s">
        <v>23</v>
      </c>
      <c r="C24" s="150">
        <f t="shared" si="0"/>
        <v>3430000</v>
      </c>
      <c r="D24" s="145"/>
      <c r="E24" s="145">
        <v>50000</v>
      </c>
      <c r="F24" s="145"/>
      <c r="G24" s="145">
        <v>50000</v>
      </c>
      <c r="H24" s="145">
        <v>50000</v>
      </c>
      <c r="I24" s="145"/>
      <c r="J24" s="145"/>
      <c r="K24" s="145"/>
      <c r="L24" s="145">
        <v>50000</v>
      </c>
      <c r="M24" s="145">
        <v>50000</v>
      </c>
      <c r="N24" s="145">
        <v>50000</v>
      </c>
      <c r="O24" s="145">
        <v>50000</v>
      </c>
      <c r="P24" s="145"/>
      <c r="Q24" s="145"/>
      <c r="R24" s="145"/>
      <c r="S24" s="145"/>
      <c r="T24" s="145"/>
      <c r="U24" s="145">
        <v>50000</v>
      </c>
      <c r="V24" s="145">
        <v>50000</v>
      </c>
      <c r="W24" s="145">
        <v>50000</v>
      </c>
      <c r="X24" s="145"/>
      <c r="Y24" s="145">
        <v>150000</v>
      </c>
      <c r="Z24" s="145"/>
      <c r="AA24" s="145">
        <v>50000</v>
      </c>
      <c r="AB24" s="145">
        <v>50000</v>
      </c>
      <c r="AC24" s="145"/>
      <c r="AD24" s="145">
        <v>1350000</v>
      </c>
      <c r="AE24" s="145"/>
      <c r="AF24" s="145">
        <v>50000</v>
      </c>
      <c r="AG24" s="145"/>
      <c r="AH24" s="263">
        <v>650000</v>
      </c>
      <c r="AI24" s="145">
        <v>630000</v>
      </c>
      <c r="AJ24" s="145"/>
      <c r="AK24" s="145"/>
      <c r="AL24" s="145"/>
      <c r="AM24" s="146">
        <f>COUNTIF(D24:AL24,"&gt;0")</f>
        <v>17</v>
      </c>
    </row>
    <row r="25" spans="2:39" ht="15.75">
      <c r="B25" s="13" t="s">
        <v>21</v>
      </c>
      <c r="C25" s="150">
        <f t="shared" si="0"/>
        <v>1490000</v>
      </c>
      <c r="D25" s="145"/>
      <c r="E25" s="145"/>
      <c r="F25" s="145">
        <v>50000</v>
      </c>
      <c r="G25" s="145"/>
      <c r="H25" s="145"/>
      <c r="I25" s="145"/>
      <c r="J25" s="145">
        <v>410000</v>
      </c>
      <c r="K25" s="145"/>
      <c r="L25" s="145"/>
      <c r="M25" s="145"/>
      <c r="N25" s="145"/>
      <c r="O25" s="145"/>
      <c r="P25" s="145">
        <v>530000</v>
      </c>
      <c r="Q25" s="145"/>
      <c r="R25" s="145"/>
      <c r="S25" s="145"/>
      <c r="T25" s="145"/>
      <c r="U25" s="145">
        <v>350000</v>
      </c>
      <c r="V25" s="145"/>
      <c r="W25" s="145">
        <v>50000</v>
      </c>
      <c r="X25" s="145">
        <v>50000</v>
      </c>
      <c r="Y25" s="145"/>
      <c r="Z25" s="145"/>
      <c r="AA25" s="145"/>
      <c r="AB25" s="145"/>
      <c r="AC25" s="145"/>
      <c r="AD25" s="145"/>
      <c r="AE25" s="145"/>
      <c r="AF25" s="145"/>
      <c r="AG25" s="145">
        <v>50000</v>
      </c>
      <c r="AH25" s="263"/>
      <c r="AI25" s="145"/>
      <c r="AJ25" s="145"/>
      <c r="AK25" s="145"/>
      <c r="AL25" s="145"/>
      <c r="AM25" s="146">
        <f>COUNTIF(D25:AL25,"&gt;0")</f>
        <v>7</v>
      </c>
    </row>
    <row r="26" spans="2:39" ht="15.75">
      <c r="B26" s="13" t="s">
        <v>51</v>
      </c>
      <c r="C26" s="150">
        <f t="shared" si="0"/>
        <v>1090000</v>
      </c>
      <c r="D26" s="145"/>
      <c r="E26" s="145"/>
      <c r="F26" s="145"/>
      <c r="G26" s="145"/>
      <c r="H26" s="145">
        <v>50000</v>
      </c>
      <c r="I26" s="145">
        <v>50000</v>
      </c>
      <c r="J26" s="145"/>
      <c r="K26" s="145"/>
      <c r="L26" s="145"/>
      <c r="M26" s="145"/>
      <c r="N26" s="145">
        <v>50000</v>
      </c>
      <c r="O26" s="145">
        <v>50000</v>
      </c>
      <c r="P26" s="145"/>
      <c r="Q26" s="145"/>
      <c r="R26" s="145"/>
      <c r="S26" s="145">
        <v>50000</v>
      </c>
      <c r="T26" s="145">
        <v>50000</v>
      </c>
      <c r="U26" s="145">
        <v>50000</v>
      </c>
      <c r="V26" s="145"/>
      <c r="W26" s="145">
        <v>50000</v>
      </c>
      <c r="X26" s="145"/>
      <c r="Y26" s="145"/>
      <c r="Z26" s="145">
        <v>50000</v>
      </c>
      <c r="AA26" s="145">
        <v>50000</v>
      </c>
      <c r="AB26" s="145">
        <v>290000</v>
      </c>
      <c r="AC26" s="145">
        <v>50000</v>
      </c>
      <c r="AD26" s="145"/>
      <c r="AE26" s="145"/>
      <c r="AF26" s="145"/>
      <c r="AG26" s="145">
        <v>50000</v>
      </c>
      <c r="AH26" s="374">
        <v>50000</v>
      </c>
      <c r="AI26" s="145"/>
      <c r="AJ26" s="145">
        <v>50000</v>
      </c>
      <c r="AK26" s="145">
        <v>50000</v>
      </c>
      <c r="AL26" s="145">
        <v>50000</v>
      </c>
      <c r="AM26" s="146">
        <f>COUNTIF(D26:AL26,"&gt;0")</f>
        <v>17</v>
      </c>
    </row>
    <row r="27" spans="2:38" ht="15.75">
      <c r="B27" s="151"/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1"/>
      <c r="AJ27" s="151"/>
      <c r="AK27" s="151"/>
      <c r="AL27" s="151"/>
    </row>
    <row r="28" spans="2:39" s="401" customFormat="1" ht="15.75">
      <c r="B28" s="402" t="s">
        <v>57</v>
      </c>
      <c r="C28" s="403"/>
      <c r="D28" s="403">
        <f aca="true" t="shared" si="2" ref="D28:AL28">SUM(D3:D26)</f>
        <v>0</v>
      </c>
      <c r="E28" s="403">
        <f t="shared" si="2"/>
        <v>10390000</v>
      </c>
      <c r="F28" s="403">
        <f t="shared" si="2"/>
        <v>9180000</v>
      </c>
      <c r="G28" s="403">
        <f t="shared" si="2"/>
        <v>7850000</v>
      </c>
      <c r="H28" s="403">
        <f t="shared" si="2"/>
        <v>7310000</v>
      </c>
      <c r="I28" s="403">
        <f t="shared" si="2"/>
        <v>7110000</v>
      </c>
      <c r="J28" s="403">
        <f t="shared" si="2"/>
        <v>7960000</v>
      </c>
      <c r="K28" s="403">
        <f t="shared" si="2"/>
        <v>7400000</v>
      </c>
      <c r="L28" s="403">
        <f t="shared" si="2"/>
        <v>5300000</v>
      </c>
      <c r="M28" s="403">
        <f t="shared" si="2"/>
        <v>7310000</v>
      </c>
      <c r="N28" s="403">
        <f t="shared" si="2"/>
        <v>7210000</v>
      </c>
      <c r="O28" s="403">
        <f t="shared" si="2"/>
        <v>7260000</v>
      </c>
      <c r="P28" s="403">
        <f t="shared" si="2"/>
        <v>7560000</v>
      </c>
      <c r="Q28" s="403">
        <f t="shared" si="2"/>
        <v>9080000</v>
      </c>
      <c r="R28" s="403">
        <f t="shared" si="2"/>
        <v>6760000</v>
      </c>
      <c r="S28" s="403">
        <f t="shared" si="2"/>
        <v>9130000</v>
      </c>
      <c r="T28" s="403">
        <f t="shared" si="2"/>
        <v>7460000</v>
      </c>
      <c r="U28" s="403">
        <f t="shared" si="2"/>
        <v>7310000</v>
      </c>
      <c r="V28" s="403">
        <f t="shared" si="2"/>
        <v>7010000</v>
      </c>
      <c r="W28" s="403">
        <f t="shared" si="2"/>
        <v>9330000</v>
      </c>
      <c r="X28" s="403">
        <f t="shared" si="2"/>
        <v>7360000</v>
      </c>
      <c r="Y28" s="403">
        <f t="shared" si="2"/>
        <v>7610000</v>
      </c>
      <c r="Z28" s="403">
        <f t="shared" si="2"/>
        <v>6600000</v>
      </c>
      <c r="AA28" s="403">
        <f t="shared" si="2"/>
        <v>5750000</v>
      </c>
      <c r="AB28" s="403">
        <f t="shared" si="2"/>
        <v>7160000</v>
      </c>
      <c r="AC28" s="403">
        <f t="shared" si="2"/>
        <v>7310000</v>
      </c>
      <c r="AD28" s="403">
        <f t="shared" si="2"/>
        <v>7610000</v>
      </c>
      <c r="AE28" s="403">
        <f t="shared" si="2"/>
        <v>6910000</v>
      </c>
      <c r="AF28" s="403">
        <f t="shared" si="2"/>
        <v>7160000</v>
      </c>
      <c r="AG28" s="403">
        <f t="shared" si="2"/>
        <v>7310000</v>
      </c>
      <c r="AH28" s="403">
        <f t="shared" si="2"/>
        <v>7310000</v>
      </c>
      <c r="AI28" s="403">
        <f t="shared" si="2"/>
        <v>9680000</v>
      </c>
      <c r="AJ28" s="403">
        <f t="shared" si="2"/>
        <v>7410000</v>
      </c>
      <c r="AK28" s="403">
        <f t="shared" si="2"/>
        <v>5500000</v>
      </c>
      <c r="AL28" s="403">
        <f t="shared" si="2"/>
        <v>5650000</v>
      </c>
      <c r="AM28" s="151">
        <f>SUM(AM3:AM26)</f>
        <v>526</v>
      </c>
    </row>
    <row r="30" spans="4:16" ht="15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</sheetData>
  <sheetProtection selectLockedCells="1" selectUnlockedCells="1"/>
  <autoFilter ref="A2:AM26">
    <sortState ref="A3:AM30">
      <sortCondition descending="1" sortBy="value" ref="C3:C30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241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249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171</v>
      </c>
      <c r="B4" s="251">
        <v>11.2</v>
      </c>
      <c r="C4" s="12">
        <v>37</v>
      </c>
      <c r="D4" s="74">
        <v>30</v>
      </c>
      <c r="E4" s="75"/>
      <c r="F4" s="73">
        <v>1</v>
      </c>
      <c r="G4" s="73">
        <v>10</v>
      </c>
      <c r="H4" s="76">
        <f aca="true" t="shared" si="0" ref="H4:H11">N4+I4</f>
        <v>1300000</v>
      </c>
      <c r="I4" s="77">
        <f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1250000</v>
      </c>
    </row>
    <row r="5" spans="1:14" s="82" customFormat="1" ht="18" customHeight="1">
      <c r="A5" s="154" t="s">
        <v>10</v>
      </c>
      <c r="B5" s="251">
        <v>15.4</v>
      </c>
      <c r="C5" s="73">
        <v>36</v>
      </c>
      <c r="D5" s="74">
        <v>34</v>
      </c>
      <c r="E5" s="75"/>
      <c r="F5" s="73">
        <v>2</v>
      </c>
      <c r="G5" s="73">
        <v>8</v>
      </c>
      <c r="H5" s="76">
        <f t="shared" si="0"/>
        <v>1050000</v>
      </c>
      <c r="I5" s="77">
        <f aca="true" t="shared" si="1" ref="I5:I11">IF(E5&gt;0,$N$13,0)+IF(C5&gt;0,50000,0)+IF(C13&lt;0,50000,0)</f>
        <v>50000</v>
      </c>
      <c r="J5" s="83" t="s">
        <v>87</v>
      </c>
      <c r="K5" s="84"/>
      <c r="L5" s="85"/>
      <c r="M5" s="86">
        <v>8</v>
      </c>
      <c r="N5" s="76">
        <f>N12*20%</f>
        <v>1000000</v>
      </c>
    </row>
    <row r="6" spans="1:14" s="82" customFormat="1" ht="18" customHeight="1">
      <c r="A6" s="154" t="s">
        <v>32</v>
      </c>
      <c r="B6" s="251">
        <v>14.8</v>
      </c>
      <c r="C6" s="73">
        <v>32</v>
      </c>
      <c r="D6" s="74">
        <v>37</v>
      </c>
      <c r="E6" s="75"/>
      <c r="F6" s="12">
        <v>3</v>
      </c>
      <c r="G6" s="12">
        <v>6</v>
      </c>
      <c r="H6" s="76">
        <f t="shared" si="0"/>
        <v>800000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750000</v>
      </c>
    </row>
    <row r="7" spans="1:17" s="82" customFormat="1" ht="18" customHeight="1">
      <c r="A7" s="154" t="s">
        <v>52</v>
      </c>
      <c r="B7" s="251">
        <v>13.8</v>
      </c>
      <c r="C7" s="74">
        <v>30</v>
      </c>
      <c r="D7" s="74">
        <v>38</v>
      </c>
      <c r="E7" s="75"/>
      <c r="F7" s="73">
        <v>4</v>
      </c>
      <c r="G7" s="73">
        <v>5</v>
      </c>
      <c r="H7" s="76">
        <f t="shared" si="0"/>
        <v>650000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600000</v>
      </c>
      <c r="O7" s="87"/>
      <c r="P7" s="87"/>
      <c r="Q7" s="88"/>
    </row>
    <row r="8" spans="1:14" s="82" customFormat="1" ht="18" customHeight="1">
      <c r="A8" s="154" t="s">
        <v>12</v>
      </c>
      <c r="B8" s="251">
        <v>18.1</v>
      </c>
      <c r="C8" s="73">
        <v>30</v>
      </c>
      <c r="D8" s="74">
        <v>32</v>
      </c>
      <c r="E8" s="89"/>
      <c r="F8" s="73">
        <v>5</v>
      </c>
      <c r="G8" s="73">
        <v>4</v>
      </c>
      <c r="H8" s="76">
        <f t="shared" si="0"/>
        <v>550000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500000</v>
      </c>
    </row>
    <row r="9" spans="1:14" s="82" customFormat="1" ht="18" customHeight="1">
      <c r="A9" s="154" t="s">
        <v>14</v>
      </c>
      <c r="B9" s="251">
        <v>12.1</v>
      </c>
      <c r="C9" s="93">
        <v>29</v>
      </c>
      <c r="D9" s="93">
        <v>36</v>
      </c>
      <c r="E9" s="89"/>
      <c r="F9" s="90">
        <v>6</v>
      </c>
      <c r="G9" s="90">
        <v>3</v>
      </c>
      <c r="H9" s="76">
        <f t="shared" si="0"/>
        <v>450000</v>
      </c>
      <c r="I9" s="77">
        <f>IF(E9&gt;0,$N$13,0)+IF(C9&gt;0,50000,0)+IF(C17&lt;0,50000,0)</f>
        <v>50000</v>
      </c>
      <c r="J9" s="83" t="s">
        <v>91</v>
      </c>
      <c r="K9" s="84"/>
      <c r="L9" s="85"/>
      <c r="M9" s="86">
        <v>3</v>
      </c>
      <c r="N9" s="76">
        <f>N12*8%</f>
        <v>400000</v>
      </c>
    </row>
    <row r="10" spans="1:14" s="82" customFormat="1" ht="18" customHeight="1">
      <c r="A10" s="154" t="s">
        <v>44</v>
      </c>
      <c r="B10" s="251">
        <v>14.6</v>
      </c>
      <c r="C10" s="73">
        <v>29</v>
      </c>
      <c r="D10" s="74">
        <v>36</v>
      </c>
      <c r="E10" s="75"/>
      <c r="F10" s="73">
        <v>7</v>
      </c>
      <c r="G10" s="73">
        <v>2</v>
      </c>
      <c r="H10" s="76">
        <f t="shared" si="0"/>
        <v>350000</v>
      </c>
      <c r="I10" s="77">
        <f>IF(E10&gt;0,$N$13,0)+IF(C10&gt;0,50000,0)+IF(C18&lt;0,50000,0)</f>
        <v>50000</v>
      </c>
      <c r="J10" s="83" t="s">
        <v>92</v>
      </c>
      <c r="K10" s="84"/>
      <c r="L10" s="85"/>
      <c r="M10" s="86">
        <v>2</v>
      </c>
      <c r="N10" s="76">
        <f>N12*6%</f>
        <v>300000</v>
      </c>
    </row>
    <row r="11" spans="1:14" s="82" customFormat="1" ht="18" customHeight="1">
      <c r="A11" s="154" t="s">
        <v>18</v>
      </c>
      <c r="B11" s="251">
        <v>15.2</v>
      </c>
      <c r="C11" s="73">
        <v>28</v>
      </c>
      <c r="D11" s="93">
        <v>36</v>
      </c>
      <c r="E11" s="89"/>
      <c r="F11" s="73">
        <v>8</v>
      </c>
      <c r="G11" s="73">
        <v>1</v>
      </c>
      <c r="H11" s="76">
        <f t="shared" si="0"/>
        <v>250000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200000</v>
      </c>
    </row>
    <row r="12" spans="1:14" s="82" customFormat="1" ht="18" customHeight="1">
      <c r="A12" s="154" t="s">
        <v>48</v>
      </c>
      <c r="B12" s="251">
        <v>6</v>
      </c>
      <c r="C12" s="73">
        <v>27</v>
      </c>
      <c r="D12" s="74">
        <v>36</v>
      </c>
      <c r="E12" s="89"/>
      <c r="F12" s="73"/>
      <c r="G12" s="73"/>
      <c r="H12" s="76">
        <f aca="true" t="shared" si="2" ref="H12:H27">I12</f>
        <v>50000</v>
      </c>
      <c r="I12" s="77">
        <f>IF(E12&gt;0,$N$13,0)+IF(C12&gt;0,50000,0)+IF(C12&lt;0,50000,0)</f>
        <v>50000</v>
      </c>
      <c r="J12" s="91" t="s">
        <v>94</v>
      </c>
      <c r="K12" s="84"/>
      <c r="L12" s="85"/>
      <c r="M12" s="86"/>
      <c r="N12" s="92">
        <v>5000000</v>
      </c>
    </row>
    <row r="13" spans="1:14" s="82" customFormat="1" ht="18" customHeight="1">
      <c r="A13" s="154" t="s">
        <v>22</v>
      </c>
      <c r="B13" s="251">
        <v>13.6</v>
      </c>
      <c r="C13" s="73">
        <v>26</v>
      </c>
      <c r="D13" s="74">
        <v>38</v>
      </c>
      <c r="E13" s="75"/>
      <c r="F13" s="73"/>
      <c r="G13" s="73"/>
      <c r="H13" s="76">
        <f t="shared" si="2"/>
        <v>50000</v>
      </c>
      <c r="I13" s="77">
        <f aca="true" t="shared" si="3" ref="I13:I27">IF(E13&gt;0,$N$13,0)+IF(C13&gt;0,50000,0)+IF(C13&lt;0,50000,0)</f>
        <v>50000</v>
      </c>
      <c r="J13" s="94" t="s">
        <v>95</v>
      </c>
      <c r="K13" s="95"/>
      <c r="L13" s="96"/>
      <c r="M13" s="97">
        <v>1</v>
      </c>
      <c r="N13" s="98">
        <f>N10</f>
        <v>300000</v>
      </c>
    </row>
    <row r="14" spans="1:14" s="82" customFormat="1" ht="18" customHeight="1">
      <c r="A14" s="154" t="s">
        <v>34</v>
      </c>
      <c r="B14" s="251">
        <v>14.4</v>
      </c>
      <c r="C14" s="73">
        <v>26</v>
      </c>
      <c r="D14" s="74">
        <v>35</v>
      </c>
      <c r="E14" s="75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38</v>
      </c>
      <c r="B15" s="251">
        <v>15.2</v>
      </c>
      <c r="C15" s="73">
        <v>25</v>
      </c>
      <c r="D15" s="74">
        <v>33</v>
      </c>
      <c r="E15" s="75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50</v>
      </c>
      <c r="B16" s="251">
        <v>23.5</v>
      </c>
      <c r="C16" s="73">
        <v>22</v>
      </c>
      <c r="D16" s="74">
        <v>39</v>
      </c>
      <c r="E16" s="89"/>
      <c r="F16" s="12"/>
      <c r="G16" s="12"/>
      <c r="H16" s="76">
        <f t="shared" si="2"/>
        <v>50000</v>
      </c>
      <c r="I16" s="77">
        <f t="shared" si="3"/>
        <v>50000</v>
      </c>
    </row>
    <row r="17" spans="1:17" s="82" customFormat="1" ht="18" customHeight="1">
      <c r="A17" s="154" t="s">
        <v>42</v>
      </c>
      <c r="B17" s="251">
        <v>17.3</v>
      </c>
      <c r="C17" s="73">
        <v>19</v>
      </c>
      <c r="D17" s="93">
        <v>36</v>
      </c>
      <c r="E17" s="75"/>
      <c r="F17" s="12"/>
      <c r="G17" s="12"/>
      <c r="H17" s="76">
        <f t="shared" si="2"/>
        <v>50000</v>
      </c>
      <c r="I17" s="77">
        <f t="shared" si="3"/>
        <v>50000</v>
      </c>
      <c r="O17" s="87"/>
      <c r="P17" s="87"/>
      <c r="Q17" s="88"/>
    </row>
    <row r="18" spans="1:13" s="82" customFormat="1" ht="18" customHeight="1">
      <c r="A18" s="154" t="s">
        <v>26</v>
      </c>
      <c r="B18" s="251">
        <v>23.9</v>
      </c>
      <c r="C18" s="12">
        <v>17</v>
      </c>
      <c r="D18" s="93">
        <v>43</v>
      </c>
      <c r="E18" s="75"/>
      <c r="F18" s="73"/>
      <c r="G18" s="73"/>
      <c r="H18" s="76">
        <f t="shared" si="2"/>
        <v>50000</v>
      </c>
      <c r="I18" s="77">
        <f t="shared" si="3"/>
        <v>50000</v>
      </c>
      <c r="J18" s="88"/>
      <c r="K18" s="88"/>
      <c r="L18" s="88"/>
      <c r="M18" s="88"/>
    </row>
    <row r="19" spans="1:13" s="82" customFormat="1" ht="18" customHeight="1">
      <c r="A19" s="154"/>
      <c r="B19" s="251"/>
      <c r="C19" s="73"/>
      <c r="D19" s="93"/>
      <c r="E19" s="75"/>
      <c r="F19" s="73"/>
      <c r="G19" s="73"/>
      <c r="H19" s="76">
        <f t="shared" si="2"/>
        <v>0</v>
      </c>
      <c r="I19" s="77">
        <f t="shared" si="3"/>
        <v>0</v>
      </c>
      <c r="J19" s="88"/>
      <c r="K19" s="88"/>
      <c r="L19" s="88"/>
      <c r="M19" s="88"/>
    </row>
    <row r="20" spans="1:9" s="57" customFormat="1" ht="18" customHeight="1">
      <c r="A20" s="154"/>
      <c r="B20" s="251"/>
      <c r="C20" s="73"/>
      <c r="D20" s="93"/>
      <c r="E20" s="75"/>
      <c r="F20" s="12"/>
      <c r="G20" s="12"/>
      <c r="H20" s="76">
        <f t="shared" si="2"/>
        <v>0</v>
      </c>
      <c r="I20" s="77">
        <f t="shared" si="3"/>
        <v>0</v>
      </c>
    </row>
    <row r="21" spans="1:9" s="57" customFormat="1" ht="18" customHeight="1">
      <c r="A21" s="154"/>
      <c r="B21" s="251"/>
      <c r="C21" s="73"/>
      <c r="D21" s="93"/>
      <c r="E21" s="75"/>
      <c r="F21" s="12"/>
      <c r="G21" s="12"/>
      <c r="H21" s="76">
        <f t="shared" si="2"/>
        <v>0</v>
      </c>
      <c r="I21" s="77">
        <f t="shared" si="3"/>
        <v>0</v>
      </c>
    </row>
    <row r="22" spans="1:9" s="57" customFormat="1" ht="18" customHeight="1">
      <c r="A22" s="154"/>
      <c r="B22" s="251"/>
      <c r="C22" s="74"/>
      <c r="D22" s="74"/>
      <c r="E22" s="75"/>
      <c r="F22" s="12"/>
      <c r="G22" s="12"/>
      <c r="H22" s="76">
        <f t="shared" si="2"/>
        <v>0</v>
      </c>
      <c r="I22" s="77">
        <f t="shared" si="3"/>
        <v>0</v>
      </c>
    </row>
    <row r="23" spans="1:9" s="57" customFormat="1" ht="18" customHeight="1">
      <c r="A23" s="154"/>
      <c r="B23" s="251"/>
      <c r="C23" s="74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</row>
    <row r="24" spans="1:9" s="57" customFormat="1" ht="18" customHeight="1">
      <c r="A24" s="154"/>
      <c r="B24" s="251"/>
      <c r="C24" s="74"/>
      <c r="D24" s="74"/>
      <c r="E24" s="75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3"/>
      <c r="D25" s="74"/>
      <c r="E25" s="89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54"/>
      <c r="B26" s="251"/>
      <c r="C26" s="74"/>
      <c r="D26" s="74"/>
      <c r="E26" s="75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54"/>
      <c r="B27" s="190"/>
      <c r="C27" s="74"/>
      <c r="D27" s="93"/>
      <c r="E27" s="89"/>
      <c r="F27" s="73"/>
      <c r="G27" s="73"/>
      <c r="H27" s="76">
        <f t="shared" si="2"/>
        <v>0</v>
      </c>
      <c r="I27" s="77">
        <f t="shared" si="3"/>
        <v>0</v>
      </c>
    </row>
    <row r="28" spans="1:9" ht="18" customHeight="1">
      <c r="A28" s="1"/>
      <c r="B28" s="3"/>
      <c r="C28" s="107"/>
      <c r="D28" s="108">
        <f>SUM(D4:D27)</f>
        <v>539</v>
      </c>
      <c r="E28" s="107"/>
      <c r="F28" s="3"/>
      <c r="G28" s="109">
        <f>SUM(G4:G27)</f>
        <v>39</v>
      </c>
      <c r="H28" s="109">
        <f>SUM(H4:H27)</f>
        <v>5750000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246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247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40</v>
      </c>
      <c r="B4" s="251">
        <v>22.2</v>
      </c>
      <c r="C4" s="73">
        <v>66</v>
      </c>
      <c r="D4" s="74">
        <v>30</v>
      </c>
      <c r="E4" s="75"/>
      <c r="F4" s="73">
        <v>1</v>
      </c>
      <c r="G4" s="73">
        <v>10</v>
      </c>
      <c r="H4" s="76">
        <f aca="true" t="shared" si="0" ref="H4:H11">N4+I4</f>
        <v>1550000</v>
      </c>
      <c r="I4" s="77">
        <f aca="true" t="shared" si="1" ref="I4:I27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48</v>
      </c>
      <c r="B5" s="251">
        <v>6</v>
      </c>
      <c r="C5" s="12">
        <v>69</v>
      </c>
      <c r="D5" s="93">
        <v>31</v>
      </c>
      <c r="E5" s="75"/>
      <c r="F5" s="73">
        <v>2</v>
      </c>
      <c r="G5" s="73">
        <v>8</v>
      </c>
      <c r="H5" s="76">
        <f t="shared" si="0"/>
        <v>1250000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12</v>
      </c>
      <c r="B6" s="251">
        <v>18.1</v>
      </c>
      <c r="C6" s="12">
        <v>70</v>
      </c>
      <c r="D6" s="74">
        <v>36</v>
      </c>
      <c r="E6" s="89"/>
      <c r="F6" s="73">
        <v>3</v>
      </c>
      <c r="G6" s="12">
        <v>6</v>
      </c>
      <c r="H6" s="76">
        <f t="shared" si="0"/>
        <v>950000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171</v>
      </c>
      <c r="B7" s="251">
        <v>11.2</v>
      </c>
      <c r="C7" s="73">
        <v>71</v>
      </c>
      <c r="D7" s="74">
        <v>25</v>
      </c>
      <c r="E7" s="75"/>
      <c r="F7" s="73">
        <v>4</v>
      </c>
      <c r="G7" s="73">
        <v>5</v>
      </c>
      <c r="H7" s="76">
        <f t="shared" si="0"/>
        <v>770000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10</v>
      </c>
      <c r="B8" s="251">
        <v>15.4</v>
      </c>
      <c r="C8" s="93">
        <v>71</v>
      </c>
      <c r="D8" s="74">
        <v>25</v>
      </c>
      <c r="E8" s="75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24</v>
      </c>
      <c r="B9" s="251">
        <v>17.7</v>
      </c>
      <c r="C9" s="73">
        <v>71</v>
      </c>
      <c r="D9" s="93">
        <v>27</v>
      </c>
      <c r="E9" s="89"/>
      <c r="F9" s="73">
        <v>6</v>
      </c>
      <c r="G9" s="73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18</v>
      </c>
      <c r="B10" s="251">
        <v>15.2</v>
      </c>
      <c r="C10" s="12">
        <v>73</v>
      </c>
      <c r="D10" s="74">
        <v>32</v>
      </c>
      <c r="E10" s="89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50</v>
      </c>
      <c r="B11" s="251">
        <v>23.5</v>
      </c>
      <c r="C11" s="12">
        <v>73</v>
      </c>
      <c r="D11" s="74">
        <v>29</v>
      </c>
      <c r="E11" s="75"/>
      <c r="F11" s="73">
        <v>8</v>
      </c>
      <c r="G11" s="90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28</v>
      </c>
      <c r="B12" s="251">
        <v>11.7</v>
      </c>
      <c r="C12" s="73">
        <v>74</v>
      </c>
      <c r="D12" s="74">
        <v>33</v>
      </c>
      <c r="E12" s="89"/>
      <c r="F12" s="73"/>
      <c r="G12" s="73"/>
      <c r="H12" s="76">
        <f aca="true" t="shared" si="2" ref="H12:H27">I12</f>
        <v>50000</v>
      </c>
      <c r="I12" s="77">
        <f t="shared" si="1"/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36</v>
      </c>
      <c r="B13" s="251">
        <v>20.3</v>
      </c>
      <c r="C13" s="74">
        <v>75</v>
      </c>
      <c r="D13" s="74">
        <v>31</v>
      </c>
      <c r="E13" s="75"/>
      <c r="F13" s="73"/>
      <c r="G13" s="73"/>
      <c r="H13" s="76">
        <f t="shared" si="2"/>
        <v>50000</v>
      </c>
      <c r="I13" s="77">
        <f t="shared" si="1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44</v>
      </c>
      <c r="B14" s="251">
        <v>14.6</v>
      </c>
      <c r="C14" s="74">
        <v>78</v>
      </c>
      <c r="D14" s="93">
        <v>34</v>
      </c>
      <c r="E14" s="89">
        <v>3.14</v>
      </c>
      <c r="F14" s="73"/>
      <c r="G14" s="73"/>
      <c r="H14" s="76">
        <f t="shared" si="2"/>
        <v>410000</v>
      </c>
      <c r="I14" s="77">
        <f t="shared" si="1"/>
        <v>410000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34</v>
      </c>
      <c r="B15" s="251">
        <v>14.4</v>
      </c>
      <c r="C15" s="74">
        <v>80</v>
      </c>
      <c r="D15" s="93">
        <v>32</v>
      </c>
      <c r="E15" s="75"/>
      <c r="F15" s="73"/>
      <c r="G15" s="73"/>
      <c r="H15" s="76">
        <f t="shared" si="2"/>
        <v>50000</v>
      </c>
      <c r="I15" s="77">
        <f t="shared" si="1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22</v>
      </c>
      <c r="B16" s="251">
        <v>13.6</v>
      </c>
      <c r="C16" s="73">
        <v>82</v>
      </c>
      <c r="D16" s="93">
        <v>36</v>
      </c>
      <c r="E16" s="75"/>
      <c r="F16" s="12"/>
      <c r="G16" s="12"/>
      <c r="H16" s="76">
        <f t="shared" si="2"/>
        <v>50000</v>
      </c>
      <c r="I16" s="77">
        <f t="shared" si="1"/>
        <v>50000</v>
      </c>
    </row>
    <row r="17" spans="1:13" s="82" customFormat="1" ht="18" customHeight="1">
      <c r="A17" s="154" t="s">
        <v>8</v>
      </c>
      <c r="B17" s="251">
        <v>20.5</v>
      </c>
      <c r="C17" s="12">
        <v>83</v>
      </c>
      <c r="D17" s="74">
        <v>38</v>
      </c>
      <c r="E17" s="89"/>
      <c r="F17" s="12"/>
      <c r="G17" s="12"/>
      <c r="H17" s="76">
        <f t="shared" si="2"/>
        <v>50000</v>
      </c>
      <c r="I17" s="77">
        <f t="shared" si="1"/>
        <v>50000</v>
      </c>
      <c r="J17" s="87"/>
      <c r="K17" s="87"/>
      <c r="L17" s="87"/>
      <c r="M17" s="88"/>
    </row>
    <row r="18" spans="1:13" s="82" customFormat="1" ht="18" customHeight="1">
      <c r="A18" s="154" t="s">
        <v>46</v>
      </c>
      <c r="B18" s="251">
        <v>20.9</v>
      </c>
      <c r="C18" s="74">
        <v>83</v>
      </c>
      <c r="D18" s="74">
        <v>35</v>
      </c>
      <c r="E18" s="89"/>
      <c r="F18" s="73"/>
      <c r="G18" s="73"/>
      <c r="H18" s="76">
        <f t="shared" si="2"/>
        <v>50000</v>
      </c>
      <c r="I18" s="77">
        <f t="shared" si="1"/>
        <v>50000</v>
      </c>
      <c r="J18" s="88"/>
      <c r="K18" s="88"/>
      <c r="L18" s="88"/>
      <c r="M18" s="88"/>
    </row>
    <row r="19" spans="1:13" s="82" customFormat="1" ht="18" customHeight="1">
      <c r="A19" s="154" t="s">
        <v>42</v>
      </c>
      <c r="B19" s="251">
        <v>17.3</v>
      </c>
      <c r="C19" s="74">
        <v>86</v>
      </c>
      <c r="D19" s="74">
        <v>31</v>
      </c>
      <c r="E19" s="75"/>
      <c r="F19" s="73"/>
      <c r="G19" s="73"/>
      <c r="H19" s="76">
        <f t="shared" si="2"/>
        <v>50000</v>
      </c>
      <c r="I19" s="77">
        <f t="shared" si="1"/>
        <v>50000</v>
      </c>
      <c r="J19" s="88"/>
      <c r="K19" s="88"/>
      <c r="L19" s="88"/>
      <c r="M19" s="88"/>
    </row>
    <row r="20" spans="1:9" s="57" customFormat="1" ht="18" customHeight="1">
      <c r="A20" s="154"/>
      <c r="B20" s="251"/>
      <c r="C20" s="73"/>
      <c r="D20" s="93"/>
      <c r="E20" s="75"/>
      <c r="F20" s="12"/>
      <c r="G20" s="12"/>
      <c r="H20" s="76">
        <f t="shared" si="2"/>
        <v>0</v>
      </c>
      <c r="I20" s="77">
        <f t="shared" si="1"/>
        <v>0</v>
      </c>
    </row>
    <row r="21" spans="1:9" s="57" customFormat="1" ht="18" customHeight="1">
      <c r="A21" s="154"/>
      <c r="B21" s="251"/>
      <c r="C21" s="74"/>
      <c r="D21" s="74"/>
      <c r="E21" s="75"/>
      <c r="F21" s="12"/>
      <c r="G21" s="12"/>
      <c r="H21" s="76">
        <f t="shared" si="2"/>
        <v>0</v>
      </c>
      <c r="I21" s="77">
        <f t="shared" si="1"/>
        <v>0</v>
      </c>
    </row>
    <row r="22" spans="1:9" s="57" customFormat="1" ht="18" customHeight="1">
      <c r="A22" s="154"/>
      <c r="B22" s="251"/>
      <c r="C22" s="74"/>
      <c r="D22" s="74"/>
      <c r="E22" s="75"/>
      <c r="F22" s="12"/>
      <c r="G22" s="12"/>
      <c r="H22" s="76">
        <f t="shared" si="2"/>
        <v>0</v>
      </c>
      <c r="I22" s="77">
        <f t="shared" si="1"/>
        <v>0</v>
      </c>
    </row>
    <row r="23" spans="1:9" s="57" customFormat="1" ht="18" customHeight="1">
      <c r="A23" s="154"/>
      <c r="B23" s="251"/>
      <c r="C23" s="12"/>
      <c r="D23" s="74"/>
      <c r="E23" s="75"/>
      <c r="F23" s="12"/>
      <c r="G23" s="12"/>
      <c r="H23" s="76">
        <f t="shared" si="2"/>
        <v>0</v>
      </c>
      <c r="I23" s="77">
        <f t="shared" si="1"/>
        <v>0</v>
      </c>
    </row>
    <row r="24" spans="1:9" s="57" customFormat="1" ht="18" customHeight="1">
      <c r="A24" s="154"/>
      <c r="B24" s="251"/>
      <c r="C24" s="73"/>
      <c r="D24" s="93"/>
      <c r="E24" s="75"/>
      <c r="F24" s="12"/>
      <c r="G24" s="12"/>
      <c r="H24" s="76">
        <f t="shared" si="2"/>
        <v>0</v>
      </c>
      <c r="I24" s="77">
        <f t="shared" si="1"/>
        <v>0</v>
      </c>
    </row>
    <row r="25" spans="1:9" s="57" customFormat="1" ht="18" customHeight="1">
      <c r="A25" s="154"/>
      <c r="B25" s="251"/>
      <c r="C25" s="73"/>
      <c r="D25" s="93"/>
      <c r="E25" s="75"/>
      <c r="F25" s="12"/>
      <c r="G25" s="12"/>
      <c r="H25" s="76">
        <f t="shared" si="2"/>
        <v>0</v>
      </c>
      <c r="I25" s="77">
        <f t="shared" si="1"/>
        <v>0</v>
      </c>
    </row>
    <row r="26" spans="1:9" s="57" customFormat="1" ht="18" customHeight="1">
      <c r="A26" s="154"/>
      <c r="B26" s="251"/>
      <c r="C26" s="74"/>
      <c r="D26" s="74"/>
      <c r="E26" s="75"/>
      <c r="F26" s="73"/>
      <c r="G26" s="73"/>
      <c r="H26" s="76">
        <f t="shared" si="2"/>
        <v>0</v>
      </c>
      <c r="I26" s="77">
        <f t="shared" si="1"/>
        <v>0</v>
      </c>
    </row>
    <row r="27" spans="1:9" s="57" customFormat="1" ht="18" customHeight="1">
      <c r="A27" s="154"/>
      <c r="B27" s="251"/>
      <c r="C27" s="73"/>
      <c r="D27" s="74"/>
      <c r="E27" s="89"/>
      <c r="F27" s="73"/>
      <c r="G27" s="73"/>
      <c r="H27" s="76">
        <f t="shared" si="2"/>
        <v>0</v>
      </c>
      <c r="I27" s="77">
        <f t="shared" si="1"/>
        <v>0</v>
      </c>
    </row>
    <row r="28" spans="1:9" ht="24" customHeight="1">
      <c r="A28" s="1"/>
      <c r="B28" s="3"/>
      <c r="C28" s="107"/>
      <c r="D28" s="108">
        <f>SUM(D4:D27)</f>
        <v>505</v>
      </c>
      <c r="E28" s="107"/>
      <c r="F28" s="3"/>
      <c r="G28" s="109">
        <f>SUM(G4:G27)</f>
        <v>39</v>
      </c>
      <c r="H28" s="109">
        <f>SUM(H4:H27)</f>
        <v>7160000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164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240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48</v>
      </c>
      <c r="B4" s="251">
        <v>7</v>
      </c>
      <c r="C4" s="74">
        <v>41</v>
      </c>
      <c r="D4" s="74">
        <v>27</v>
      </c>
      <c r="E4" s="75"/>
      <c r="F4" s="73">
        <v>1</v>
      </c>
      <c r="G4" s="73">
        <v>10</v>
      </c>
      <c r="H4" s="76">
        <f>N4+I4</f>
        <v>1550000</v>
      </c>
      <c r="I4" s="77">
        <f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16</v>
      </c>
      <c r="B5" s="251">
        <v>21.2</v>
      </c>
      <c r="C5" s="73">
        <v>41</v>
      </c>
      <c r="D5" s="74">
        <v>34</v>
      </c>
      <c r="E5" s="75"/>
      <c r="F5" s="73">
        <v>2</v>
      </c>
      <c r="G5" s="73">
        <v>8</v>
      </c>
      <c r="H5" s="76">
        <f aca="true" t="shared" si="0" ref="H5:H11">N5+I5</f>
        <v>1250000</v>
      </c>
      <c r="I5" s="77">
        <f aca="true" t="shared" si="1" ref="I5:I11">IF(E5&gt;0,$N$13,0)+IF(C5&gt;0,50000,0)+IF(C13&lt;0,50000,0)</f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8</v>
      </c>
      <c r="B6" s="251">
        <v>22.5</v>
      </c>
      <c r="C6" s="73">
        <v>41</v>
      </c>
      <c r="D6" s="93">
        <v>32</v>
      </c>
      <c r="E6" s="75"/>
      <c r="F6" s="12">
        <v>3</v>
      </c>
      <c r="G6" s="12">
        <v>6</v>
      </c>
      <c r="H6" s="76">
        <f t="shared" si="0"/>
        <v>950000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30</v>
      </c>
      <c r="B7" s="251">
        <v>10.4</v>
      </c>
      <c r="C7" s="73">
        <v>40</v>
      </c>
      <c r="D7" s="74">
        <v>22</v>
      </c>
      <c r="E7" s="75"/>
      <c r="F7" s="73">
        <v>4</v>
      </c>
      <c r="G7" s="73">
        <v>5</v>
      </c>
      <c r="H7" s="76">
        <f t="shared" si="0"/>
        <v>770000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10</v>
      </c>
      <c r="B8" s="251">
        <v>15.7</v>
      </c>
      <c r="C8" s="73">
        <v>37</v>
      </c>
      <c r="D8" s="93">
        <v>31</v>
      </c>
      <c r="E8" s="89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28</v>
      </c>
      <c r="B9" s="251">
        <v>11.7</v>
      </c>
      <c r="C9" s="73">
        <v>35</v>
      </c>
      <c r="D9" s="74">
        <v>29</v>
      </c>
      <c r="E9" s="75">
        <v>6.47</v>
      </c>
      <c r="F9" s="90">
        <v>6</v>
      </c>
      <c r="G9" s="90">
        <v>3</v>
      </c>
      <c r="H9" s="76">
        <f t="shared" si="0"/>
        <v>890000</v>
      </c>
      <c r="I9" s="77">
        <f t="shared" si="1"/>
        <v>410000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34</v>
      </c>
      <c r="B10" s="251">
        <v>14.4</v>
      </c>
      <c r="C10" s="73">
        <v>35</v>
      </c>
      <c r="D10" s="74">
        <v>29</v>
      </c>
      <c r="E10" s="75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26</v>
      </c>
      <c r="B11" s="251">
        <v>23.9</v>
      </c>
      <c r="C11" s="73">
        <v>35</v>
      </c>
      <c r="D11" s="74">
        <v>34</v>
      </c>
      <c r="E11" s="75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40</v>
      </c>
      <c r="B12" s="251">
        <v>22.2</v>
      </c>
      <c r="C12" s="73">
        <v>33</v>
      </c>
      <c r="D12" s="74">
        <v>37</v>
      </c>
      <c r="E12" s="75"/>
      <c r="F12" s="73"/>
      <c r="G12" s="73"/>
      <c r="H12" s="76">
        <f>I12</f>
        <v>50000</v>
      </c>
      <c r="I12" s="77">
        <f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52</v>
      </c>
      <c r="B13" s="251">
        <v>13.7</v>
      </c>
      <c r="C13" s="73">
        <v>32</v>
      </c>
      <c r="D13" s="93">
        <v>34</v>
      </c>
      <c r="E13" s="89"/>
      <c r="F13" s="73"/>
      <c r="G13" s="73"/>
      <c r="H13" s="76">
        <f aca="true" t="shared" si="2" ref="H13:H27">I13</f>
        <v>50000</v>
      </c>
      <c r="I13" s="77">
        <f aca="true" t="shared" si="3" ref="I13:I27">IF(E13&gt;0,$N$13,0)+IF(C13&gt;0,50000,0)+IF(C13&lt;0,50000,0)</f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24</v>
      </c>
      <c r="B14" s="251">
        <v>17.6</v>
      </c>
      <c r="C14" s="74">
        <v>32</v>
      </c>
      <c r="D14" s="74">
        <v>32</v>
      </c>
      <c r="E14" s="75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18</v>
      </c>
      <c r="B15" s="251">
        <v>15.1</v>
      </c>
      <c r="C15" s="74">
        <v>31</v>
      </c>
      <c r="D15" s="74">
        <v>32</v>
      </c>
      <c r="E15" s="89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38</v>
      </c>
      <c r="B16" s="251">
        <v>15.1</v>
      </c>
      <c r="C16" s="73">
        <v>31</v>
      </c>
      <c r="D16" s="74">
        <v>37</v>
      </c>
      <c r="E16" s="89"/>
      <c r="F16" s="12"/>
      <c r="G16" s="12"/>
      <c r="H16" s="76">
        <f t="shared" si="2"/>
        <v>50000</v>
      </c>
      <c r="I16" s="77">
        <f t="shared" si="3"/>
        <v>50000</v>
      </c>
    </row>
    <row r="17" spans="1:13" s="82" customFormat="1" ht="18" customHeight="1">
      <c r="A17" s="154" t="s">
        <v>36</v>
      </c>
      <c r="B17" s="251">
        <v>20.2</v>
      </c>
      <c r="C17" s="12">
        <v>31</v>
      </c>
      <c r="D17" s="74">
        <v>36</v>
      </c>
      <c r="E17" s="75"/>
      <c r="F17" s="12"/>
      <c r="G17" s="12"/>
      <c r="H17" s="76">
        <f t="shared" si="2"/>
        <v>50000</v>
      </c>
      <c r="I17" s="77">
        <f t="shared" si="3"/>
        <v>50000</v>
      </c>
      <c r="J17" s="87"/>
      <c r="K17" s="87"/>
      <c r="L17" s="87"/>
      <c r="M17" s="88"/>
    </row>
    <row r="18" spans="1:13" s="82" customFormat="1" ht="18" customHeight="1">
      <c r="A18" s="154" t="s">
        <v>50</v>
      </c>
      <c r="B18" s="251">
        <v>23.4</v>
      </c>
      <c r="C18" s="74">
        <v>31</v>
      </c>
      <c r="D18" s="93">
        <v>36</v>
      </c>
      <c r="E18" s="89"/>
      <c r="F18" s="73"/>
      <c r="G18" s="73"/>
      <c r="H18" s="76">
        <f t="shared" si="2"/>
        <v>50000</v>
      </c>
      <c r="I18" s="77">
        <f t="shared" si="3"/>
        <v>50000</v>
      </c>
      <c r="J18" s="88"/>
      <c r="K18" s="88"/>
      <c r="L18" s="88"/>
      <c r="M18" s="88"/>
    </row>
    <row r="19" spans="1:13" s="82" customFormat="1" ht="18" customHeight="1">
      <c r="A19" s="154" t="s">
        <v>14</v>
      </c>
      <c r="B19" s="251">
        <v>12</v>
      </c>
      <c r="C19" s="73">
        <v>30</v>
      </c>
      <c r="D19" s="74">
        <v>34</v>
      </c>
      <c r="E19" s="75"/>
      <c r="F19" s="73"/>
      <c r="G19" s="73"/>
      <c r="H19" s="76">
        <f t="shared" si="2"/>
        <v>50000</v>
      </c>
      <c r="I19" s="77">
        <f t="shared" si="3"/>
        <v>50000</v>
      </c>
      <c r="J19" s="88"/>
      <c r="K19" s="88"/>
      <c r="L19" s="88"/>
      <c r="M19" s="88"/>
    </row>
    <row r="20" spans="1:9" s="57" customFormat="1" ht="18" customHeight="1">
      <c r="A20" s="154" t="s">
        <v>12</v>
      </c>
      <c r="B20" s="251">
        <v>18</v>
      </c>
      <c r="C20" s="74">
        <v>28</v>
      </c>
      <c r="D20" s="93">
        <v>33</v>
      </c>
      <c r="E20" s="75"/>
      <c r="F20" s="12"/>
      <c r="G20" s="12"/>
      <c r="H20" s="76">
        <f t="shared" si="2"/>
        <v>50000</v>
      </c>
      <c r="I20" s="77">
        <f t="shared" si="3"/>
        <v>50000</v>
      </c>
    </row>
    <row r="21" spans="1:9" s="57" customFormat="1" ht="18" customHeight="1">
      <c r="A21" s="154" t="s">
        <v>42</v>
      </c>
      <c r="B21" s="251">
        <v>17.2</v>
      </c>
      <c r="C21" s="73">
        <v>27</v>
      </c>
      <c r="D21" s="93">
        <v>41</v>
      </c>
      <c r="E21" s="75"/>
      <c r="F21" s="12"/>
      <c r="G21" s="12"/>
      <c r="H21" s="76">
        <f t="shared" si="2"/>
        <v>50000</v>
      </c>
      <c r="I21" s="77">
        <f t="shared" si="3"/>
        <v>50000</v>
      </c>
    </row>
    <row r="22" spans="1:9" s="57" customFormat="1" ht="18" customHeight="1">
      <c r="A22" s="154" t="s">
        <v>44</v>
      </c>
      <c r="B22" s="251">
        <v>14.5</v>
      </c>
      <c r="C22" s="73" t="s">
        <v>223</v>
      </c>
      <c r="D22" s="74">
        <v>37</v>
      </c>
      <c r="E22" s="75"/>
      <c r="F22" s="12"/>
      <c r="G22" s="12"/>
      <c r="H22" s="76">
        <f t="shared" si="2"/>
        <v>50000</v>
      </c>
      <c r="I22" s="77">
        <f t="shared" si="3"/>
        <v>50000</v>
      </c>
    </row>
    <row r="23" spans="1:9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>IF(E23&gt;0,$N$13,0)+IF(C23&gt;0,50000,0)+IF(C23&lt;0,50000,0)</f>
        <v>0</v>
      </c>
    </row>
    <row r="24" spans="1:9" s="57" customFormat="1" ht="18" customHeight="1">
      <c r="A24" s="154"/>
      <c r="B24" s="251"/>
      <c r="C24" s="93"/>
      <c r="D24" s="93"/>
      <c r="E24" s="89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12"/>
      <c r="D25" s="93"/>
      <c r="E25" s="89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54"/>
      <c r="B26" s="251"/>
      <c r="C26" s="74"/>
      <c r="D26" s="74"/>
      <c r="E26" s="89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54"/>
      <c r="B27" s="251"/>
      <c r="C27" s="73"/>
      <c r="D27" s="74"/>
      <c r="E27" s="75"/>
      <c r="F27" s="73"/>
      <c r="G27" s="73"/>
      <c r="H27" s="76">
        <f t="shared" si="2"/>
        <v>0</v>
      </c>
      <c r="I27" s="77">
        <f t="shared" si="3"/>
        <v>0</v>
      </c>
    </row>
    <row r="28" spans="1:9" ht="24" customHeight="1">
      <c r="A28" s="1"/>
      <c r="B28" s="3"/>
      <c r="C28" s="107"/>
      <c r="D28" s="108">
        <f>SUM(D4:D27)</f>
        <v>627</v>
      </c>
      <c r="E28" s="107"/>
      <c r="F28" s="3"/>
      <c r="G28" s="109">
        <f>SUM(G4:G27)</f>
        <v>39</v>
      </c>
      <c r="H28" s="109">
        <f>SUM(H4:H27)</f>
        <v>7310000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114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237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8</v>
      </c>
      <c r="B4" s="251">
        <v>23.3</v>
      </c>
      <c r="C4" s="73">
        <v>38</v>
      </c>
      <c r="D4" s="93">
        <v>32</v>
      </c>
      <c r="E4" s="75">
        <v>1.55</v>
      </c>
      <c r="F4" s="73">
        <v>1</v>
      </c>
      <c r="G4" s="73">
        <v>10</v>
      </c>
      <c r="H4" s="76">
        <v>1650000</v>
      </c>
      <c r="I4" s="77">
        <f>IF(E4&gt;0,$N$13,0)+IF(C4&gt;0,50000,0)+IF(C12&lt;0,50000,0)</f>
        <v>410000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22</v>
      </c>
      <c r="B5" s="251">
        <v>13.9</v>
      </c>
      <c r="C5" s="74">
        <v>37</v>
      </c>
      <c r="D5" s="93">
        <v>30</v>
      </c>
      <c r="E5" s="75">
        <v>2.01</v>
      </c>
      <c r="F5" s="73">
        <v>2</v>
      </c>
      <c r="G5" s="73">
        <v>8</v>
      </c>
      <c r="H5" s="76">
        <v>1350000</v>
      </c>
      <c r="I5" s="77">
        <f aca="true" t="shared" si="0" ref="I5:I11">IF(E5&gt;0,$N$13,0)+IF(C5&gt;0,50000,0)+IF(C13&lt;0,50000,0)</f>
        <v>410000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30</v>
      </c>
      <c r="B6" s="251">
        <v>10.8</v>
      </c>
      <c r="C6" s="73">
        <v>35</v>
      </c>
      <c r="D6" s="74">
        <v>32</v>
      </c>
      <c r="E6" s="75"/>
      <c r="F6" s="12">
        <v>3</v>
      </c>
      <c r="G6" s="12">
        <v>6</v>
      </c>
      <c r="H6" s="76">
        <f>N6+I6</f>
        <v>950000</v>
      </c>
      <c r="I6" s="77">
        <f t="shared" si="0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38</v>
      </c>
      <c r="B7" s="251">
        <v>15.1</v>
      </c>
      <c r="C7" s="73">
        <v>34</v>
      </c>
      <c r="D7" s="93">
        <v>35</v>
      </c>
      <c r="E7" s="75"/>
      <c r="F7" s="73">
        <v>4</v>
      </c>
      <c r="G7" s="73">
        <v>5</v>
      </c>
      <c r="H7" s="76">
        <f>N7+I7</f>
        <v>770000</v>
      </c>
      <c r="I7" s="77">
        <f t="shared" si="0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44</v>
      </c>
      <c r="B8" s="251">
        <v>14.5</v>
      </c>
      <c r="C8" s="73">
        <v>32</v>
      </c>
      <c r="D8" s="93">
        <v>33</v>
      </c>
      <c r="E8" s="89"/>
      <c r="F8" s="73">
        <v>5</v>
      </c>
      <c r="G8" s="73">
        <v>4</v>
      </c>
      <c r="H8" s="76">
        <f>N8+I8</f>
        <v>650000</v>
      </c>
      <c r="I8" s="77">
        <f t="shared" si="0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24</v>
      </c>
      <c r="B9" s="251">
        <v>17.5</v>
      </c>
      <c r="C9" s="73">
        <v>32</v>
      </c>
      <c r="D9" s="93">
        <v>36</v>
      </c>
      <c r="E9" s="75"/>
      <c r="F9" s="90">
        <v>6</v>
      </c>
      <c r="G9" s="90">
        <v>3</v>
      </c>
      <c r="H9" s="76">
        <f>N9+I9</f>
        <v>530000</v>
      </c>
      <c r="I9" s="77">
        <f t="shared" si="0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52</v>
      </c>
      <c r="B10" s="251">
        <v>13.6</v>
      </c>
      <c r="C10" s="12">
        <v>31</v>
      </c>
      <c r="D10" s="74">
        <v>36</v>
      </c>
      <c r="E10" s="89"/>
      <c r="F10" s="73">
        <v>7</v>
      </c>
      <c r="G10" s="73">
        <v>2</v>
      </c>
      <c r="H10" s="76">
        <f>N10+I10</f>
        <v>410000</v>
      </c>
      <c r="I10" s="77">
        <f t="shared" si="0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28</v>
      </c>
      <c r="B11" s="251">
        <v>11.5</v>
      </c>
      <c r="C11" s="73">
        <v>30</v>
      </c>
      <c r="D11" s="74">
        <v>35</v>
      </c>
      <c r="E11" s="75">
        <v>15</v>
      </c>
      <c r="F11" s="73">
        <v>8</v>
      </c>
      <c r="G11" s="73">
        <v>1</v>
      </c>
      <c r="H11" s="76">
        <v>390000</v>
      </c>
      <c r="I11" s="77">
        <f t="shared" si="0"/>
        <v>410000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32</v>
      </c>
      <c r="B12" s="251">
        <v>14.7</v>
      </c>
      <c r="C12" s="73">
        <v>30</v>
      </c>
      <c r="D12" s="74">
        <v>36</v>
      </c>
      <c r="E12" s="75">
        <v>0.28</v>
      </c>
      <c r="F12" s="73"/>
      <c r="G12" s="73"/>
      <c r="H12" s="76">
        <f>I12</f>
        <v>410000</v>
      </c>
      <c r="I12" s="77">
        <f>IF(E12&gt;0,$N$13,0)+IF(C12&gt;0,50000,0)+IF(C12&lt;0,50000,0)</f>
        <v>410000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18</v>
      </c>
      <c r="B13" s="251">
        <v>15</v>
      </c>
      <c r="C13" s="74">
        <v>30</v>
      </c>
      <c r="D13" s="74">
        <v>36</v>
      </c>
      <c r="E13" s="89"/>
      <c r="F13" s="73"/>
      <c r="G13" s="73"/>
      <c r="H13" s="76">
        <f aca="true" t="shared" si="1" ref="H13:H27">I13</f>
        <v>50000</v>
      </c>
      <c r="I13" s="77">
        <f aca="true" t="shared" si="2" ref="I13:I27">IF(E13&gt;0,$N$13,0)+IF(C13&gt;0,50000,0)+IF(C13&lt;0,50000,0)</f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48</v>
      </c>
      <c r="B14" s="251">
        <v>6.7</v>
      </c>
      <c r="C14" s="73">
        <v>29</v>
      </c>
      <c r="D14" s="74">
        <v>28</v>
      </c>
      <c r="E14" s="89">
        <v>1.38</v>
      </c>
      <c r="F14" s="73"/>
      <c r="G14" s="73"/>
      <c r="H14" s="76">
        <v>150000</v>
      </c>
      <c r="I14" s="77">
        <f t="shared" si="2"/>
        <v>410000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10</v>
      </c>
      <c r="B15" s="251">
        <v>15.6</v>
      </c>
      <c r="C15" s="73">
        <v>29</v>
      </c>
      <c r="D15" s="93">
        <v>31</v>
      </c>
      <c r="E15" s="75"/>
      <c r="F15" s="73"/>
      <c r="G15" s="73"/>
      <c r="H15" s="76">
        <f t="shared" si="1"/>
        <v>50000</v>
      </c>
      <c r="I15" s="77">
        <f t="shared" si="2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34</v>
      </c>
      <c r="B16" s="251">
        <v>14.3</v>
      </c>
      <c r="C16" s="12">
        <v>26</v>
      </c>
      <c r="D16" s="74">
        <v>33</v>
      </c>
      <c r="E16" s="75"/>
      <c r="F16" s="12"/>
      <c r="G16" s="12"/>
      <c r="H16" s="76">
        <f t="shared" si="1"/>
        <v>50000</v>
      </c>
      <c r="I16" s="77">
        <f t="shared" si="2"/>
        <v>50000</v>
      </c>
    </row>
    <row r="17" spans="1:13" s="82" customFormat="1" ht="18" customHeight="1">
      <c r="A17" s="154" t="s">
        <v>16</v>
      </c>
      <c r="B17" s="251">
        <v>21.1</v>
      </c>
      <c r="C17" s="73">
        <v>26</v>
      </c>
      <c r="D17" s="93">
        <v>40</v>
      </c>
      <c r="E17" s="75"/>
      <c r="F17" s="12"/>
      <c r="G17" s="12"/>
      <c r="H17" s="76">
        <f t="shared" si="1"/>
        <v>50000</v>
      </c>
      <c r="I17" s="77">
        <f t="shared" si="2"/>
        <v>50000</v>
      </c>
      <c r="J17" s="87"/>
      <c r="K17" s="87"/>
      <c r="L17" s="87"/>
      <c r="M17" s="88"/>
    </row>
    <row r="18" spans="1:13" s="82" customFormat="1" ht="18" customHeight="1">
      <c r="A18" s="154" t="s">
        <v>26</v>
      </c>
      <c r="B18" s="251">
        <v>23.8</v>
      </c>
      <c r="C18" s="73">
        <v>24</v>
      </c>
      <c r="D18" s="74">
        <v>40</v>
      </c>
      <c r="E18" s="89"/>
      <c r="F18" s="73"/>
      <c r="G18" s="73"/>
      <c r="H18" s="76">
        <f t="shared" si="1"/>
        <v>50000</v>
      </c>
      <c r="I18" s="77">
        <f t="shared" si="2"/>
        <v>50000</v>
      </c>
      <c r="J18" s="88"/>
      <c r="K18" s="88"/>
      <c r="L18" s="88"/>
      <c r="M18" s="88"/>
    </row>
    <row r="19" spans="1:13" s="82" customFormat="1" ht="18" customHeight="1">
      <c r="A19" s="154" t="s">
        <v>42</v>
      </c>
      <c r="B19" s="251">
        <v>17.1</v>
      </c>
      <c r="C19" s="74">
        <v>22</v>
      </c>
      <c r="D19" s="74">
        <v>36</v>
      </c>
      <c r="E19" s="75"/>
      <c r="F19" s="73"/>
      <c r="G19" s="73"/>
      <c r="H19" s="76">
        <f t="shared" si="1"/>
        <v>50000</v>
      </c>
      <c r="I19" s="77">
        <f t="shared" si="2"/>
        <v>50000</v>
      </c>
      <c r="J19" s="88"/>
      <c r="K19" s="88"/>
      <c r="L19" s="88"/>
      <c r="M19" s="88"/>
    </row>
    <row r="20" spans="1:9" s="57" customFormat="1" ht="18" customHeight="1">
      <c r="A20" s="154" t="s">
        <v>46</v>
      </c>
      <c r="B20" s="251">
        <v>20.8</v>
      </c>
      <c r="C20" s="73">
        <v>22</v>
      </c>
      <c r="D20" s="74">
        <v>43</v>
      </c>
      <c r="E20" s="89"/>
      <c r="F20" s="12"/>
      <c r="G20" s="12"/>
      <c r="H20" s="76">
        <f t="shared" si="1"/>
        <v>50000</v>
      </c>
      <c r="I20" s="77">
        <f t="shared" si="2"/>
        <v>50000</v>
      </c>
    </row>
    <row r="21" spans="1:9" s="57" customFormat="1" ht="18" customHeight="1">
      <c r="A21" s="154"/>
      <c r="B21" s="251"/>
      <c r="C21" s="73"/>
      <c r="D21" s="74"/>
      <c r="E21" s="89"/>
      <c r="F21" s="12"/>
      <c r="G21" s="12"/>
      <c r="H21" s="76">
        <f t="shared" si="1"/>
        <v>0</v>
      </c>
      <c r="I21" s="77">
        <f t="shared" si="2"/>
        <v>0</v>
      </c>
    </row>
    <row r="22" spans="1:9" s="57" customFormat="1" ht="18" customHeight="1">
      <c r="A22" s="154"/>
      <c r="B22" s="251"/>
      <c r="C22" s="74"/>
      <c r="D22" s="74"/>
      <c r="E22" s="89"/>
      <c r="F22" s="12"/>
      <c r="G22" s="12"/>
      <c r="H22" s="76">
        <f t="shared" si="1"/>
        <v>0</v>
      </c>
      <c r="I22" s="77">
        <f t="shared" si="2"/>
        <v>0</v>
      </c>
    </row>
    <row r="23" spans="1:9" s="57" customFormat="1" ht="18" customHeight="1">
      <c r="A23" s="154"/>
      <c r="B23" s="251"/>
      <c r="C23" s="93"/>
      <c r="D23" s="93"/>
      <c r="E23" s="75"/>
      <c r="F23" s="12"/>
      <c r="G23" s="12"/>
      <c r="H23" s="76">
        <f t="shared" si="1"/>
        <v>0</v>
      </c>
      <c r="I23" s="77">
        <f t="shared" si="2"/>
        <v>0</v>
      </c>
    </row>
    <row r="24" spans="1:9" s="57" customFormat="1" ht="18" customHeight="1">
      <c r="A24" s="154"/>
      <c r="B24" s="251"/>
      <c r="C24" s="73"/>
      <c r="D24" s="74"/>
      <c r="E24" s="75"/>
      <c r="F24" s="12"/>
      <c r="G24" s="12"/>
      <c r="H24" s="76">
        <f t="shared" si="1"/>
        <v>0</v>
      </c>
      <c r="I24" s="77">
        <f t="shared" si="2"/>
        <v>0</v>
      </c>
    </row>
    <row r="25" spans="1:9" s="57" customFormat="1" ht="18" customHeight="1">
      <c r="A25" s="154"/>
      <c r="B25" s="251"/>
      <c r="C25" s="73"/>
      <c r="D25" s="74"/>
      <c r="E25" s="75"/>
      <c r="F25" s="12"/>
      <c r="G25" s="12"/>
      <c r="H25" s="76">
        <f t="shared" si="1"/>
        <v>0</v>
      </c>
      <c r="I25" s="77">
        <f t="shared" si="2"/>
        <v>0</v>
      </c>
    </row>
    <row r="26" spans="1:9" s="57" customFormat="1" ht="18" customHeight="1">
      <c r="A26" s="154"/>
      <c r="B26" s="251"/>
      <c r="C26" s="74"/>
      <c r="D26" s="74"/>
      <c r="E26" s="75"/>
      <c r="F26" s="73"/>
      <c r="G26" s="73"/>
      <c r="H26" s="76">
        <f t="shared" si="1"/>
        <v>0</v>
      </c>
      <c r="I26" s="77">
        <f t="shared" si="2"/>
        <v>0</v>
      </c>
    </row>
    <row r="27" spans="1:9" s="57" customFormat="1" ht="18" customHeight="1">
      <c r="A27" s="154"/>
      <c r="B27" s="251"/>
      <c r="C27" s="74"/>
      <c r="D27" s="74"/>
      <c r="E27" s="75"/>
      <c r="F27" s="73"/>
      <c r="G27" s="73"/>
      <c r="H27" s="76">
        <f t="shared" si="1"/>
        <v>0</v>
      </c>
      <c r="I27" s="77">
        <f t="shared" si="2"/>
        <v>0</v>
      </c>
    </row>
    <row r="28" spans="1:9" ht="24" customHeight="1">
      <c r="A28" s="1"/>
      <c r="B28" s="3"/>
      <c r="C28" s="107"/>
      <c r="D28" s="108">
        <f>SUM(D4:D27)</f>
        <v>592</v>
      </c>
      <c r="E28" s="107"/>
      <c r="F28" s="3"/>
      <c r="G28" s="109">
        <f>SUM(G4:G27)</f>
        <v>39</v>
      </c>
      <c r="H28" s="109">
        <f>SUM(H4:H27)</f>
        <v>7610000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115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236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52</v>
      </c>
      <c r="B4" s="251">
        <v>13.6</v>
      </c>
      <c r="C4" s="73">
        <v>32</v>
      </c>
      <c r="D4" s="74">
        <v>33</v>
      </c>
      <c r="E4" s="89"/>
      <c r="F4" s="73">
        <v>1</v>
      </c>
      <c r="G4" s="73">
        <v>10</v>
      </c>
      <c r="H4" s="76">
        <f aca="true" t="shared" si="0" ref="H4:H11">N4+I4</f>
        <v>1550000</v>
      </c>
      <c r="I4" s="77">
        <f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12</v>
      </c>
      <c r="B5" s="251">
        <v>17.9</v>
      </c>
      <c r="C5" s="73">
        <v>30</v>
      </c>
      <c r="D5" s="74">
        <v>30</v>
      </c>
      <c r="E5" s="75"/>
      <c r="F5" s="73">
        <v>2</v>
      </c>
      <c r="G5" s="73">
        <v>8</v>
      </c>
      <c r="H5" s="76">
        <f t="shared" si="0"/>
        <v>1250000</v>
      </c>
      <c r="I5" s="77">
        <f aca="true" t="shared" si="1" ref="I5:I11">IF(E5&gt;0,$N$13,0)+IF(C5&gt;0,50000,0)+IF(C13&lt;0,50000,0)</f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40</v>
      </c>
      <c r="B6" s="251">
        <v>22.1</v>
      </c>
      <c r="C6" s="74">
        <v>30</v>
      </c>
      <c r="D6" s="74">
        <v>35</v>
      </c>
      <c r="E6" s="75"/>
      <c r="F6" s="12">
        <v>3</v>
      </c>
      <c r="G6" s="12">
        <v>6</v>
      </c>
      <c r="H6" s="76">
        <f t="shared" si="0"/>
        <v>950000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16</v>
      </c>
      <c r="B7" s="251">
        <v>21</v>
      </c>
      <c r="C7" s="73">
        <v>29</v>
      </c>
      <c r="D7" s="74">
        <v>38</v>
      </c>
      <c r="E7" s="75"/>
      <c r="F7" s="73">
        <v>4</v>
      </c>
      <c r="G7" s="73">
        <v>5</v>
      </c>
      <c r="H7" s="76">
        <f t="shared" si="0"/>
        <v>770000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44</v>
      </c>
      <c r="B8" s="251">
        <v>14.4</v>
      </c>
      <c r="C8" s="74">
        <v>28</v>
      </c>
      <c r="D8" s="74">
        <v>32</v>
      </c>
      <c r="E8" s="75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42</v>
      </c>
      <c r="B9" s="251">
        <v>17</v>
      </c>
      <c r="C9" s="74">
        <v>28</v>
      </c>
      <c r="D9" s="74">
        <v>32</v>
      </c>
      <c r="E9" s="75"/>
      <c r="F9" s="90">
        <v>6</v>
      </c>
      <c r="G9" s="90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48</v>
      </c>
      <c r="B10" s="251">
        <v>6.6</v>
      </c>
      <c r="C10" s="73">
        <v>27</v>
      </c>
      <c r="D10" s="74">
        <v>34</v>
      </c>
      <c r="E10" s="75">
        <v>14</v>
      </c>
      <c r="F10" s="73">
        <v>7</v>
      </c>
      <c r="G10" s="73">
        <v>2</v>
      </c>
      <c r="H10" s="76">
        <f t="shared" si="0"/>
        <v>770000</v>
      </c>
      <c r="I10" s="77">
        <f t="shared" si="1"/>
        <v>410000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28</v>
      </c>
      <c r="B11" s="251">
        <v>12</v>
      </c>
      <c r="C11" s="73">
        <v>24</v>
      </c>
      <c r="D11" s="74">
        <v>36</v>
      </c>
      <c r="E11" s="89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34</v>
      </c>
      <c r="B12" s="251">
        <v>14.2</v>
      </c>
      <c r="C12" s="73">
        <v>24</v>
      </c>
      <c r="D12" s="74">
        <v>35</v>
      </c>
      <c r="E12" s="75"/>
      <c r="F12" s="73"/>
      <c r="G12" s="73"/>
      <c r="H12" s="76">
        <v>50000</v>
      </c>
      <c r="I12" s="77">
        <f>IF(E12&gt;0,$N$13,0)+IF(C12&gt;0,50000,0)+IF(C12&lt;0,50000,0)</f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32</v>
      </c>
      <c r="B13" s="251">
        <v>14.6</v>
      </c>
      <c r="C13" s="93">
        <v>24</v>
      </c>
      <c r="D13" s="74">
        <v>37</v>
      </c>
      <c r="E13" s="89"/>
      <c r="F13" s="73"/>
      <c r="G13" s="73"/>
      <c r="H13" s="76">
        <f aca="true" t="shared" si="2" ref="H13:H27">I13</f>
        <v>50000</v>
      </c>
      <c r="I13" s="77">
        <f aca="true" t="shared" si="3" ref="I13:I27">IF(E13&gt;0,$N$13,0)+IF(C13&gt;0,50000,0)+IF(C13&lt;0,50000,0)</f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18</v>
      </c>
      <c r="B14" s="251">
        <v>14.9</v>
      </c>
      <c r="C14" s="73">
        <v>21</v>
      </c>
      <c r="D14" s="93">
        <v>35</v>
      </c>
      <c r="E14" s="89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/>
      <c r="B15" s="251"/>
      <c r="C15" s="73"/>
      <c r="D15" s="74"/>
      <c r="E15" s="89"/>
      <c r="F15" s="73"/>
      <c r="G15" s="73"/>
      <c r="H15" s="76">
        <f t="shared" si="2"/>
        <v>0</v>
      </c>
      <c r="I15" s="77">
        <f t="shared" si="3"/>
        <v>0</v>
      </c>
      <c r="J15" s="102"/>
      <c r="K15" s="103"/>
      <c r="L15" s="103"/>
      <c r="M15" s="104"/>
      <c r="N15" s="105"/>
    </row>
    <row r="16" spans="1:9" s="82" customFormat="1" ht="18" customHeight="1">
      <c r="A16" s="154"/>
      <c r="B16" s="251"/>
      <c r="C16" s="73"/>
      <c r="D16" s="93"/>
      <c r="E16" s="75"/>
      <c r="F16" s="12"/>
      <c r="G16" s="12"/>
      <c r="H16" s="76">
        <f t="shared" si="2"/>
        <v>0</v>
      </c>
      <c r="I16" s="77">
        <f t="shared" si="3"/>
        <v>0</v>
      </c>
    </row>
    <row r="17" spans="1:13" s="82" customFormat="1" ht="18" customHeight="1">
      <c r="A17" s="154"/>
      <c r="B17" s="251"/>
      <c r="C17" s="73"/>
      <c r="D17" s="74"/>
      <c r="E17" s="75"/>
      <c r="F17" s="12"/>
      <c r="G17" s="12"/>
      <c r="H17" s="76">
        <f t="shared" si="2"/>
        <v>0</v>
      </c>
      <c r="I17" s="77">
        <f t="shared" si="3"/>
        <v>0</v>
      </c>
      <c r="J17" s="87"/>
      <c r="K17" s="87"/>
      <c r="L17" s="87"/>
      <c r="M17" s="88"/>
    </row>
    <row r="18" spans="1:13" s="82" customFormat="1" ht="18" customHeight="1">
      <c r="A18" s="154"/>
      <c r="B18" s="251"/>
      <c r="C18" s="74"/>
      <c r="D18" s="74"/>
      <c r="E18" s="75"/>
      <c r="F18" s="73"/>
      <c r="G18" s="73"/>
      <c r="H18" s="76">
        <f t="shared" si="2"/>
        <v>0</v>
      </c>
      <c r="I18" s="77">
        <f t="shared" si="3"/>
        <v>0</v>
      </c>
      <c r="J18" s="88"/>
      <c r="K18" s="88"/>
      <c r="L18" s="88"/>
      <c r="M18" s="88"/>
    </row>
    <row r="19" spans="1:13" s="82" customFormat="1" ht="18" customHeight="1">
      <c r="A19" s="154"/>
      <c r="B19" s="251"/>
      <c r="C19" s="73"/>
      <c r="D19" s="74"/>
      <c r="E19" s="75"/>
      <c r="F19" s="73"/>
      <c r="G19" s="73"/>
      <c r="H19" s="76">
        <f t="shared" si="2"/>
        <v>0</v>
      </c>
      <c r="I19" s="77">
        <f t="shared" si="3"/>
        <v>0</v>
      </c>
      <c r="J19" s="88"/>
      <c r="K19" s="88"/>
      <c r="L19" s="88"/>
      <c r="M19" s="88"/>
    </row>
    <row r="20" spans="1:9" s="57" customFormat="1" ht="18" customHeight="1">
      <c r="A20" s="154"/>
      <c r="B20" s="251"/>
      <c r="C20" s="12"/>
      <c r="D20" s="93"/>
      <c r="E20" s="268"/>
      <c r="F20" s="12"/>
      <c r="G20" s="12"/>
      <c r="H20" s="76">
        <f t="shared" si="2"/>
        <v>0</v>
      </c>
      <c r="I20" s="77">
        <f t="shared" si="3"/>
        <v>0</v>
      </c>
    </row>
    <row r="21" spans="1:9" s="57" customFormat="1" ht="18" customHeight="1">
      <c r="A21" s="154"/>
      <c r="B21" s="251"/>
      <c r="C21" s="73"/>
      <c r="D21" s="93"/>
      <c r="E21" s="89"/>
      <c r="F21" s="12"/>
      <c r="G21" s="12"/>
      <c r="H21" s="76">
        <f t="shared" si="2"/>
        <v>0</v>
      </c>
      <c r="I21" s="77">
        <f t="shared" si="3"/>
        <v>0</v>
      </c>
    </row>
    <row r="22" spans="1:9" s="57" customFormat="1" ht="18" customHeight="1">
      <c r="A22" s="154"/>
      <c r="B22" s="251"/>
      <c r="C22" s="74"/>
      <c r="D22" s="93"/>
      <c r="E22" s="89"/>
      <c r="F22" s="12"/>
      <c r="G22" s="12"/>
      <c r="H22" s="76">
        <f t="shared" si="2"/>
        <v>0</v>
      </c>
      <c r="I22" s="77">
        <f t="shared" si="3"/>
        <v>0</v>
      </c>
    </row>
    <row r="23" spans="1:9" s="57" customFormat="1" ht="18" customHeight="1">
      <c r="A23" s="154"/>
      <c r="B23" s="251"/>
      <c r="C23" s="73"/>
      <c r="D23" s="93"/>
      <c r="E23" s="75"/>
      <c r="F23" s="12"/>
      <c r="G23" s="12"/>
      <c r="H23" s="76">
        <f t="shared" si="2"/>
        <v>0</v>
      </c>
      <c r="I23" s="77">
        <f t="shared" si="3"/>
        <v>0</v>
      </c>
    </row>
    <row r="24" spans="1:9" s="57" customFormat="1" ht="18" customHeight="1">
      <c r="A24" s="154"/>
      <c r="B24" s="251"/>
      <c r="C24" s="12"/>
      <c r="D24" s="93"/>
      <c r="E24" s="75"/>
      <c r="F24" s="12"/>
      <c r="G24" s="12"/>
      <c r="H24" s="76">
        <f t="shared" si="2"/>
        <v>0</v>
      </c>
      <c r="I24" s="77">
        <f t="shared" si="3"/>
        <v>0</v>
      </c>
    </row>
    <row r="25" spans="1:9" s="57" customFormat="1" ht="18" customHeight="1">
      <c r="A25" s="154"/>
      <c r="B25" s="251"/>
      <c r="C25" s="73"/>
      <c r="D25" s="74"/>
      <c r="E25" s="75"/>
      <c r="F25" s="12"/>
      <c r="G25" s="12"/>
      <c r="H25" s="76">
        <f t="shared" si="2"/>
        <v>0</v>
      </c>
      <c r="I25" s="77">
        <f t="shared" si="3"/>
        <v>0</v>
      </c>
    </row>
    <row r="26" spans="1:9" s="57" customFormat="1" ht="18" customHeight="1">
      <c r="A26" s="13"/>
      <c r="B26" s="14"/>
      <c r="C26" s="73"/>
      <c r="D26" s="74"/>
      <c r="E26" s="89"/>
      <c r="F26" s="73"/>
      <c r="G26" s="73"/>
      <c r="H26" s="76">
        <f t="shared" si="2"/>
        <v>0</v>
      </c>
      <c r="I26" s="77">
        <f t="shared" si="3"/>
        <v>0</v>
      </c>
    </row>
    <row r="27" spans="1:9" s="57" customFormat="1" ht="18" customHeight="1">
      <c r="A27" s="13"/>
      <c r="B27" s="14"/>
      <c r="C27" s="73"/>
      <c r="D27" s="93"/>
      <c r="E27" s="75"/>
      <c r="F27" s="73"/>
      <c r="G27" s="73"/>
      <c r="H27" s="76">
        <f t="shared" si="2"/>
        <v>0</v>
      </c>
      <c r="I27" s="77">
        <f t="shared" si="3"/>
        <v>0</v>
      </c>
    </row>
    <row r="28" spans="1:9" ht="24" customHeight="1">
      <c r="A28" s="1"/>
      <c r="B28" s="3"/>
      <c r="C28" s="107"/>
      <c r="D28" s="108">
        <f>SUM(D4:D27)</f>
        <v>377</v>
      </c>
      <c r="E28" s="107"/>
      <c r="F28" s="3"/>
      <c r="G28" s="109">
        <f>SUM(G4:G27)</f>
        <v>39</v>
      </c>
      <c r="H28" s="109">
        <f>SUM(H4:H27)</f>
        <v>6910000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116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235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28</v>
      </c>
      <c r="B4" s="251">
        <v>12.9</v>
      </c>
      <c r="C4" s="73">
        <v>39</v>
      </c>
      <c r="D4" s="74">
        <v>28</v>
      </c>
      <c r="E4" s="75"/>
      <c r="F4" s="73">
        <v>1</v>
      </c>
      <c r="G4" s="73">
        <v>10</v>
      </c>
      <c r="H4" s="76">
        <f>N4+I4</f>
        <v>1550000</v>
      </c>
      <c r="I4" s="77">
        <f>IF(E4&gt;0,$N$13,0)+IF(C4&gt;0,50000,0)+IF(C4&lt;0,50000,0)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30</v>
      </c>
      <c r="B5" s="251">
        <v>11.1</v>
      </c>
      <c r="C5" s="73">
        <v>38</v>
      </c>
      <c r="D5" s="93">
        <v>30</v>
      </c>
      <c r="E5" s="12"/>
      <c r="F5" s="73">
        <v>2</v>
      </c>
      <c r="G5" s="73">
        <v>8</v>
      </c>
      <c r="H5" s="76">
        <f>N5+I5</f>
        <v>1250000</v>
      </c>
      <c r="I5" s="77">
        <f aca="true" t="shared" si="0" ref="I5:I27">IF(E5&gt;0,$N$13,0)+IF(C5&gt;0,50000,0)+IF(C5&lt;0,50000,0)</f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171</v>
      </c>
      <c r="B6" s="251">
        <v>11.5</v>
      </c>
      <c r="C6" s="74">
        <v>37</v>
      </c>
      <c r="D6" s="93">
        <v>29</v>
      </c>
      <c r="E6" s="12"/>
      <c r="F6" s="12">
        <v>3</v>
      </c>
      <c r="G6" s="12">
        <v>6</v>
      </c>
      <c r="H6" s="76">
        <f aca="true" t="shared" si="1" ref="H6:H11">N6+I6</f>
        <v>950000</v>
      </c>
      <c r="I6" s="77">
        <f t="shared" si="0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10</v>
      </c>
      <c r="B7" s="251">
        <v>15.6</v>
      </c>
      <c r="C7" s="73">
        <v>35</v>
      </c>
      <c r="D7" s="74">
        <v>27</v>
      </c>
      <c r="E7" s="75"/>
      <c r="F7" s="73">
        <v>4</v>
      </c>
      <c r="G7" s="73">
        <v>5</v>
      </c>
      <c r="H7" s="76">
        <f t="shared" si="1"/>
        <v>770000</v>
      </c>
      <c r="I7" s="77">
        <f t="shared" si="0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34</v>
      </c>
      <c r="B8" s="251">
        <v>14.2</v>
      </c>
      <c r="C8" s="74">
        <v>34</v>
      </c>
      <c r="D8" s="74">
        <v>35</v>
      </c>
      <c r="E8" s="75"/>
      <c r="F8" s="73">
        <v>5</v>
      </c>
      <c r="G8" s="73">
        <v>4</v>
      </c>
      <c r="H8" s="76">
        <f t="shared" si="1"/>
        <v>650000</v>
      </c>
      <c r="I8" s="77">
        <f t="shared" si="0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52</v>
      </c>
      <c r="B9" s="251">
        <v>13.6</v>
      </c>
      <c r="C9" s="74">
        <v>33</v>
      </c>
      <c r="D9" s="93">
        <v>33</v>
      </c>
      <c r="E9" s="12"/>
      <c r="F9" s="90">
        <v>6</v>
      </c>
      <c r="G9" s="90">
        <v>3</v>
      </c>
      <c r="H9" s="76">
        <f t="shared" si="1"/>
        <v>530000</v>
      </c>
      <c r="I9" s="77">
        <f t="shared" si="0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12</v>
      </c>
      <c r="B10" s="251">
        <v>17.9</v>
      </c>
      <c r="C10" s="73">
        <v>33</v>
      </c>
      <c r="D10" s="74">
        <v>38</v>
      </c>
      <c r="E10" s="75"/>
      <c r="F10" s="73">
        <v>7</v>
      </c>
      <c r="G10" s="73">
        <v>2</v>
      </c>
      <c r="H10" s="76">
        <f t="shared" si="1"/>
        <v>410000</v>
      </c>
      <c r="I10" s="77">
        <f t="shared" si="0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48</v>
      </c>
      <c r="B11" s="251">
        <v>6.9</v>
      </c>
      <c r="C11" s="74">
        <v>32</v>
      </c>
      <c r="D11" s="74">
        <v>30</v>
      </c>
      <c r="E11" s="75"/>
      <c r="F11" s="73">
        <v>8</v>
      </c>
      <c r="G11" s="73">
        <v>1</v>
      </c>
      <c r="H11" s="76">
        <f t="shared" si="1"/>
        <v>290000</v>
      </c>
      <c r="I11" s="77">
        <f t="shared" si="0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42</v>
      </c>
      <c r="B12" s="251">
        <v>16.9</v>
      </c>
      <c r="C12" s="12">
        <v>32</v>
      </c>
      <c r="D12" s="74">
        <v>31</v>
      </c>
      <c r="E12" s="75"/>
      <c r="F12" s="73"/>
      <c r="G12" s="73"/>
      <c r="H12" s="76">
        <f>I12</f>
        <v>50000</v>
      </c>
      <c r="I12" s="77">
        <f t="shared" si="0"/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32</v>
      </c>
      <c r="B13" s="251">
        <v>14.5</v>
      </c>
      <c r="C13" s="73">
        <v>31</v>
      </c>
      <c r="D13" s="74">
        <v>35</v>
      </c>
      <c r="E13" s="75"/>
      <c r="F13" s="73"/>
      <c r="G13" s="73"/>
      <c r="H13" s="76">
        <f aca="true" t="shared" si="2" ref="H13:H27">I13</f>
        <v>50000</v>
      </c>
      <c r="I13" s="77">
        <f t="shared" si="0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24</v>
      </c>
      <c r="B14" s="251">
        <v>17.4</v>
      </c>
      <c r="C14" s="73">
        <v>31</v>
      </c>
      <c r="D14" s="93">
        <v>32</v>
      </c>
      <c r="E14" s="12"/>
      <c r="F14" s="73"/>
      <c r="G14" s="73"/>
      <c r="H14" s="76">
        <f t="shared" si="2"/>
        <v>50000</v>
      </c>
      <c r="I14" s="77">
        <f t="shared" si="0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16</v>
      </c>
      <c r="B15" s="251">
        <v>20.9</v>
      </c>
      <c r="C15" s="73">
        <v>30</v>
      </c>
      <c r="D15" s="74">
        <v>43</v>
      </c>
      <c r="E15" s="75">
        <v>11</v>
      </c>
      <c r="F15" s="73"/>
      <c r="G15" s="73"/>
      <c r="H15" s="76">
        <f t="shared" si="2"/>
        <v>410000</v>
      </c>
      <c r="I15" s="77">
        <f t="shared" si="0"/>
        <v>410000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38</v>
      </c>
      <c r="B16" s="251">
        <v>14.9</v>
      </c>
      <c r="C16" s="73">
        <v>29</v>
      </c>
      <c r="D16" s="74">
        <v>34</v>
      </c>
      <c r="E16" s="75"/>
      <c r="F16" s="12"/>
      <c r="G16" s="12"/>
      <c r="H16" s="76">
        <f t="shared" si="2"/>
        <v>50000</v>
      </c>
      <c r="I16" s="77">
        <f t="shared" si="0"/>
        <v>50000</v>
      </c>
    </row>
    <row r="17" spans="1:18" s="82" customFormat="1" ht="18" customHeight="1">
      <c r="A17" s="154" t="s">
        <v>22</v>
      </c>
      <c r="B17" s="251">
        <v>13.8</v>
      </c>
      <c r="C17" s="73">
        <v>26</v>
      </c>
      <c r="D17" s="93">
        <v>38</v>
      </c>
      <c r="E17" s="12"/>
      <c r="F17" s="12"/>
      <c r="G17" s="12"/>
      <c r="H17" s="76">
        <f t="shared" si="2"/>
        <v>50000</v>
      </c>
      <c r="I17" s="77">
        <f t="shared" si="0"/>
        <v>50000</v>
      </c>
      <c r="O17" s="87"/>
      <c r="P17" s="87"/>
      <c r="Q17" s="87"/>
      <c r="R17" s="88"/>
    </row>
    <row r="18" spans="1:13" s="82" customFormat="1" ht="18" customHeight="1">
      <c r="A18" s="154" t="s">
        <v>36</v>
      </c>
      <c r="B18" s="251">
        <v>20.1</v>
      </c>
      <c r="C18" s="93">
        <v>26</v>
      </c>
      <c r="D18" s="74">
        <v>37</v>
      </c>
      <c r="E18" s="75"/>
      <c r="F18" s="73"/>
      <c r="G18" s="73"/>
      <c r="H18" s="76">
        <f t="shared" si="2"/>
        <v>50000</v>
      </c>
      <c r="I18" s="77">
        <f t="shared" si="0"/>
        <v>50000</v>
      </c>
      <c r="J18" s="88"/>
      <c r="K18" s="88"/>
      <c r="L18" s="88"/>
      <c r="M18" s="88"/>
    </row>
    <row r="19" spans="1:13" s="82" customFormat="1" ht="18" customHeight="1">
      <c r="A19" s="154" t="s">
        <v>8</v>
      </c>
      <c r="B19" s="251">
        <v>23.2</v>
      </c>
      <c r="C19" s="73">
        <v>25</v>
      </c>
      <c r="D19" s="74">
        <v>37</v>
      </c>
      <c r="E19" s="93"/>
      <c r="F19" s="73"/>
      <c r="G19" s="73"/>
      <c r="H19" s="76">
        <f t="shared" si="2"/>
        <v>50000</v>
      </c>
      <c r="I19" s="77">
        <f t="shared" si="0"/>
        <v>50000</v>
      </c>
      <c r="J19" s="88"/>
      <c r="K19" s="88"/>
      <c r="L19" s="88"/>
      <c r="M19" s="88"/>
    </row>
    <row r="20" spans="1:9" s="57" customFormat="1" ht="18" customHeight="1">
      <c r="A20" s="154"/>
      <c r="B20" s="251"/>
      <c r="C20" s="73"/>
      <c r="D20" s="74"/>
      <c r="E20" s="75"/>
      <c r="F20" s="12"/>
      <c r="G20" s="12"/>
      <c r="H20" s="76">
        <f t="shared" si="2"/>
        <v>0</v>
      </c>
      <c r="I20" s="77">
        <f t="shared" si="0"/>
        <v>0</v>
      </c>
    </row>
    <row r="21" spans="1:9" s="57" customFormat="1" ht="18" customHeight="1">
      <c r="A21" s="154"/>
      <c r="B21" s="251"/>
      <c r="C21" s="74"/>
      <c r="D21" s="74"/>
      <c r="E21" s="75"/>
      <c r="F21" s="12"/>
      <c r="G21" s="12"/>
      <c r="H21" s="76">
        <f t="shared" si="2"/>
        <v>0</v>
      </c>
      <c r="I21" s="77">
        <f t="shared" si="0"/>
        <v>0</v>
      </c>
    </row>
    <row r="22" spans="1:9" s="57" customFormat="1" ht="18" customHeight="1">
      <c r="A22" s="154"/>
      <c r="B22" s="251"/>
      <c r="C22" s="12"/>
      <c r="D22" s="93"/>
      <c r="E22" s="12"/>
      <c r="F22" s="12"/>
      <c r="G22" s="12"/>
      <c r="H22" s="76">
        <f t="shared" si="2"/>
        <v>0</v>
      </c>
      <c r="I22" s="77">
        <f t="shared" si="0"/>
        <v>0</v>
      </c>
    </row>
    <row r="23" spans="1:9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 t="shared" si="0"/>
        <v>0</v>
      </c>
    </row>
    <row r="24" spans="1:9" s="57" customFormat="1" ht="18" customHeight="1">
      <c r="A24" s="154"/>
      <c r="B24" s="251"/>
      <c r="C24" s="73"/>
      <c r="D24" s="93"/>
      <c r="E24" s="12"/>
      <c r="F24" s="12"/>
      <c r="G24" s="12"/>
      <c r="H24" s="76">
        <f t="shared" si="2"/>
        <v>0</v>
      </c>
      <c r="I24" s="77">
        <f t="shared" si="0"/>
        <v>0</v>
      </c>
    </row>
    <row r="25" spans="1:9" s="57" customFormat="1" ht="18" customHeight="1">
      <c r="A25" s="154"/>
      <c r="B25" s="251"/>
      <c r="C25" s="74"/>
      <c r="D25" s="74"/>
      <c r="E25" s="75"/>
      <c r="F25" s="12"/>
      <c r="G25" s="12"/>
      <c r="H25" s="76">
        <f t="shared" si="2"/>
        <v>0</v>
      </c>
      <c r="I25" s="77">
        <f t="shared" si="0"/>
        <v>0</v>
      </c>
    </row>
    <row r="26" spans="1:9" s="57" customFormat="1" ht="18" customHeight="1">
      <c r="A26" s="154"/>
      <c r="B26" s="251"/>
      <c r="C26" s="73"/>
      <c r="D26" s="93"/>
      <c r="E26" s="12"/>
      <c r="F26" s="73"/>
      <c r="G26" s="73"/>
      <c r="H26" s="76">
        <f t="shared" si="2"/>
        <v>0</v>
      </c>
      <c r="I26" s="77">
        <f t="shared" si="0"/>
        <v>0</v>
      </c>
    </row>
    <row r="27" spans="1:9" s="57" customFormat="1" ht="18" customHeight="1">
      <c r="A27" s="154"/>
      <c r="B27" s="251"/>
      <c r="C27" s="73"/>
      <c r="D27" s="74"/>
      <c r="E27" s="75"/>
      <c r="F27" s="73"/>
      <c r="G27" s="73"/>
      <c r="H27" s="76">
        <f t="shared" si="2"/>
        <v>0</v>
      </c>
      <c r="I27" s="77">
        <f t="shared" si="0"/>
        <v>0</v>
      </c>
    </row>
    <row r="28" spans="1:9" ht="24" customHeight="1">
      <c r="A28" s="1"/>
      <c r="B28" s="3"/>
      <c r="C28" s="107"/>
      <c r="D28" s="108">
        <f>SUM(D4:D27)</f>
        <v>537</v>
      </c>
      <c r="E28" s="107"/>
      <c r="F28" s="3"/>
      <c r="G28" s="109">
        <f>SUM(G4:G27)</f>
        <v>39</v>
      </c>
      <c r="H28" s="109">
        <f>SUM(H4:H27)</f>
        <v>7160000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118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233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8</v>
      </c>
      <c r="B4" s="251">
        <v>23.2</v>
      </c>
      <c r="C4" s="73">
        <v>35</v>
      </c>
      <c r="D4" s="74">
        <v>30</v>
      </c>
      <c r="E4" s="93"/>
      <c r="F4" s="73">
        <v>1</v>
      </c>
      <c r="G4" s="73">
        <v>10</v>
      </c>
      <c r="H4" s="76">
        <f>N4+I4</f>
        <v>1550000</v>
      </c>
      <c r="I4" s="77">
        <f>IF(E4&gt;0,$N$13,0)+IF(C4&gt;0,50000,0)+IF(C4&lt;0,50000,0)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48</v>
      </c>
      <c r="B5" s="251">
        <v>6.8</v>
      </c>
      <c r="C5" s="74">
        <v>34</v>
      </c>
      <c r="D5" s="74">
        <v>29</v>
      </c>
      <c r="E5" s="75"/>
      <c r="F5" s="73">
        <v>2</v>
      </c>
      <c r="G5" s="73">
        <v>8</v>
      </c>
      <c r="H5" s="76">
        <f aca="true" t="shared" si="0" ref="H5:H11">N5+I5</f>
        <v>1250000</v>
      </c>
      <c r="I5" s="77">
        <f aca="true" t="shared" si="1" ref="I5:I27">IF(E5&gt;0,$N$13,0)+IF(C5&gt;0,50000,0)+IF(C5&lt;0,50000,0)</f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46</v>
      </c>
      <c r="B6" s="251">
        <v>20.8</v>
      </c>
      <c r="C6" s="12">
        <v>34</v>
      </c>
      <c r="D6" s="74">
        <v>30</v>
      </c>
      <c r="E6" s="12"/>
      <c r="F6" s="12">
        <v>3</v>
      </c>
      <c r="G6" s="12">
        <v>6</v>
      </c>
      <c r="H6" s="76">
        <f t="shared" si="0"/>
        <v>950000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10</v>
      </c>
      <c r="B7" s="251">
        <v>15.6</v>
      </c>
      <c r="C7" s="73">
        <v>33</v>
      </c>
      <c r="D7" s="74">
        <v>31</v>
      </c>
      <c r="E7" s="75"/>
      <c r="F7" s="73">
        <v>4</v>
      </c>
      <c r="G7" s="73">
        <v>5</v>
      </c>
      <c r="H7" s="76">
        <f t="shared" si="0"/>
        <v>770000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40</v>
      </c>
      <c r="B8" s="251">
        <v>22.1</v>
      </c>
      <c r="C8" s="74">
        <v>33</v>
      </c>
      <c r="D8" s="74">
        <v>36</v>
      </c>
      <c r="E8" s="75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30</v>
      </c>
      <c r="B9" s="251">
        <v>11</v>
      </c>
      <c r="C9" s="73">
        <v>32</v>
      </c>
      <c r="D9" s="74">
        <v>30</v>
      </c>
      <c r="E9" s="75"/>
      <c r="F9" s="90">
        <v>6</v>
      </c>
      <c r="G9" s="90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34</v>
      </c>
      <c r="B10" s="251">
        <v>14.1</v>
      </c>
      <c r="C10" s="73">
        <v>32</v>
      </c>
      <c r="D10" s="93">
        <v>32</v>
      </c>
      <c r="E10" s="12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18</v>
      </c>
      <c r="B11" s="251">
        <v>14.8</v>
      </c>
      <c r="C11" s="73">
        <v>31</v>
      </c>
      <c r="D11" s="74">
        <v>30</v>
      </c>
      <c r="E11" s="75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14</v>
      </c>
      <c r="B12" s="251">
        <v>11.7</v>
      </c>
      <c r="C12" s="73">
        <v>30</v>
      </c>
      <c r="D12" s="74">
        <v>32</v>
      </c>
      <c r="E12" s="75"/>
      <c r="F12" s="73"/>
      <c r="G12" s="73"/>
      <c r="H12" s="76">
        <f>I12</f>
        <v>50000</v>
      </c>
      <c r="I12" s="77">
        <f t="shared" si="1"/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44</v>
      </c>
      <c r="B13" s="251">
        <v>14.3</v>
      </c>
      <c r="C13" s="73">
        <v>30</v>
      </c>
      <c r="D13" s="93">
        <v>30</v>
      </c>
      <c r="E13" s="75"/>
      <c r="F13" s="73"/>
      <c r="G13" s="73"/>
      <c r="H13" s="76">
        <f aca="true" t="shared" si="2" ref="H13:H27">I13</f>
        <v>50000</v>
      </c>
      <c r="I13" s="77">
        <f t="shared" si="1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28</v>
      </c>
      <c r="B14" s="251">
        <v>12.8</v>
      </c>
      <c r="C14" s="73">
        <v>29</v>
      </c>
      <c r="D14" s="74">
        <v>33</v>
      </c>
      <c r="E14" s="75"/>
      <c r="F14" s="73"/>
      <c r="G14" s="73"/>
      <c r="H14" s="76">
        <f t="shared" si="2"/>
        <v>50000</v>
      </c>
      <c r="I14" s="77">
        <f t="shared" si="1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16</v>
      </c>
      <c r="B15" s="251">
        <v>20.8</v>
      </c>
      <c r="C15" s="73">
        <v>28</v>
      </c>
      <c r="D15" s="74">
        <v>44</v>
      </c>
      <c r="E15" s="75"/>
      <c r="F15" s="73"/>
      <c r="G15" s="73"/>
      <c r="H15" s="76">
        <f t="shared" si="2"/>
        <v>50000</v>
      </c>
      <c r="I15" s="77">
        <f t="shared" si="1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26</v>
      </c>
      <c r="B16" s="251">
        <v>23.7</v>
      </c>
      <c r="C16" s="74">
        <v>28</v>
      </c>
      <c r="D16" s="74">
        <v>37</v>
      </c>
      <c r="E16" s="75"/>
      <c r="F16" s="12"/>
      <c r="G16" s="12"/>
      <c r="H16" s="76">
        <f t="shared" si="2"/>
        <v>50000</v>
      </c>
      <c r="I16" s="77">
        <f t="shared" si="1"/>
        <v>50000</v>
      </c>
    </row>
    <row r="17" spans="1:18" s="82" customFormat="1" ht="18" customHeight="1">
      <c r="A17" s="154" t="s">
        <v>171</v>
      </c>
      <c r="B17" s="251">
        <v>11.7</v>
      </c>
      <c r="C17" s="73">
        <v>27</v>
      </c>
      <c r="D17" s="93">
        <v>36</v>
      </c>
      <c r="E17" s="12"/>
      <c r="F17" s="12"/>
      <c r="G17" s="12"/>
      <c r="H17" s="76">
        <f t="shared" si="2"/>
        <v>50000</v>
      </c>
      <c r="I17" s="77">
        <f t="shared" si="1"/>
        <v>50000</v>
      </c>
      <c r="O17" s="87"/>
      <c r="P17" s="87"/>
      <c r="Q17" s="87"/>
      <c r="R17" s="88"/>
    </row>
    <row r="18" spans="1:13" s="82" customFormat="1" ht="18" customHeight="1">
      <c r="A18" s="154" t="s">
        <v>38</v>
      </c>
      <c r="B18" s="251">
        <v>14.8</v>
      </c>
      <c r="C18" s="93">
        <v>26</v>
      </c>
      <c r="D18" s="74">
        <v>36</v>
      </c>
      <c r="E18" s="75"/>
      <c r="F18" s="73"/>
      <c r="G18" s="73"/>
      <c r="H18" s="76">
        <f t="shared" si="2"/>
        <v>50000</v>
      </c>
      <c r="I18" s="77">
        <f t="shared" si="1"/>
        <v>50000</v>
      </c>
      <c r="J18" s="88"/>
      <c r="K18" s="88"/>
      <c r="L18" s="88"/>
      <c r="M18" s="88"/>
    </row>
    <row r="19" spans="1:13" s="82" customFormat="1" ht="18" customHeight="1">
      <c r="A19" s="154" t="s">
        <v>50</v>
      </c>
      <c r="B19" s="251">
        <v>23.3</v>
      </c>
      <c r="C19" s="73">
        <v>26</v>
      </c>
      <c r="D19" s="93">
        <v>39</v>
      </c>
      <c r="E19" s="12"/>
      <c r="F19" s="73"/>
      <c r="G19" s="73"/>
      <c r="H19" s="76">
        <f t="shared" si="2"/>
        <v>50000</v>
      </c>
      <c r="I19" s="77">
        <f t="shared" si="1"/>
        <v>50000</v>
      </c>
      <c r="J19" s="88"/>
      <c r="K19" s="88"/>
      <c r="L19" s="88"/>
      <c r="M19" s="88"/>
    </row>
    <row r="20" spans="1:9" s="57" customFormat="1" ht="18" customHeight="1">
      <c r="A20" s="154" t="s">
        <v>32</v>
      </c>
      <c r="B20" s="251">
        <v>14.4</v>
      </c>
      <c r="C20" s="73">
        <v>25</v>
      </c>
      <c r="D20" s="93">
        <v>36</v>
      </c>
      <c r="E20" s="75">
        <v>2.37</v>
      </c>
      <c r="F20" s="12"/>
      <c r="G20" s="12"/>
      <c r="H20" s="76">
        <f t="shared" si="2"/>
        <v>410000</v>
      </c>
      <c r="I20" s="77">
        <f t="shared" si="1"/>
        <v>410000</v>
      </c>
    </row>
    <row r="21" spans="1:9" s="57" customFormat="1" ht="18" customHeight="1">
      <c r="A21" s="154" t="s">
        <v>20</v>
      </c>
      <c r="B21" s="251">
        <v>15.6</v>
      </c>
      <c r="C21" s="74">
        <v>25</v>
      </c>
      <c r="D21" s="74">
        <v>40</v>
      </c>
      <c r="E21" s="12"/>
      <c r="F21" s="12"/>
      <c r="G21" s="12"/>
      <c r="H21" s="76">
        <f t="shared" si="2"/>
        <v>50000</v>
      </c>
      <c r="I21" s="77">
        <f t="shared" si="1"/>
        <v>50000</v>
      </c>
    </row>
    <row r="22" spans="1:9" s="57" customFormat="1" ht="18" customHeight="1">
      <c r="A22" s="154" t="s">
        <v>42</v>
      </c>
      <c r="B22" s="251">
        <v>16.8</v>
      </c>
      <c r="C22" s="74">
        <v>18</v>
      </c>
      <c r="D22" s="93">
        <v>41</v>
      </c>
      <c r="E22" s="12"/>
      <c r="F22" s="12"/>
      <c r="G22" s="12"/>
      <c r="H22" s="76">
        <f t="shared" si="2"/>
        <v>50000</v>
      </c>
      <c r="I22" s="77">
        <f t="shared" si="1"/>
        <v>50000</v>
      </c>
    </row>
    <row r="23" spans="1:9" s="57" customFormat="1" ht="18" customHeight="1">
      <c r="A23" s="154"/>
      <c r="B23" s="251"/>
      <c r="C23" s="73"/>
      <c r="D23" s="74"/>
      <c r="E23" s="12"/>
      <c r="F23" s="12"/>
      <c r="G23" s="12"/>
      <c r="H23" s="76">
        <f t="shared" si="2"/>
        <v>0</v>
      </c>
      <c r="I23" s="77">
        <f t="shared" si="1"/>
        <v>0</v>
      </c>
    </row>
    <row r="24" spans="1:9" s="57" customFormat="1" ht="18" customHeight="1">
      <c r="A24" s="154"/>
      <c r="B24" s="251"/>
      <c r="C24" s="12"/>
      <c r="D24" s="93"/>
      <c r="E24" s="75"/>
      <c r="F24" s="12"/>
      <c r="G24" s="12"/>
      <c r="H24" s="76">
        <f t="shared" si="2"/>
        <v>0</v>
      </c>
      <c r="I24" s="77">
        <f t="shared" si="1"/>
        <v>0</v>
      </c>
    </row>
    <row r="25" spans="1:9" s="57" customFormat="1" ht="18" customHeight="1">
      <c r="A25" s="154"/>
      <c r="B25" s="251"/>
      <c r="C25" s="74"/>
      <c r="D25" s="93"/>
      <c r="E25" s="75"/>
      <c r="F25" s="12"/>
      <c r="G25" s="12"/>
      <c r="H25" s="76">
        <f t="shared" si="2"/>
        <v>0</v>
      </c>
      <c r="I25" s="77">
        <f t="shared" si="1"/>
        <v>0</v>
      </c>
    </row>
    <row r="26" spans="1:9" s="57" customFormat="1" ht="18" customHeight="1">
      <c r="A26" s="154"/>
      <c r="B26" s="251"/>
      <c r="C26" s="73"/>
      <c r="D26" s="74"/>
      <c r="E26" s="12"/>
      <c r="F26" s="73"/>
      <c r="G26" s="73"/>
      <c r="H26" s="76">
        <f t="shared" si="2"/>
        <v>0</v>
      </c>
      <c r="I26" s="77">
        <f t="shared" si="1"/>
        <v>0</v>
      </c>
    </row>
    <row r="27" spans="1:9" s="57" customFormat="1" ht="18" customHeight="1">
      <c r="A27" s="154"/>
      <c r="B27" s="251"/>
      <c r="C27" s="73"/>
      <c r="D27" s="74"/>
      <c r="E27" s="75"/>
      <c r="F27" s="73"/>
      <c r="G27" s="73"/>
      <c r="H27" s="76">
        <f t="shared" si="2"/>
        <v>0</v>
      </c>
      <c r="I27" s="77">
        <f t="shared" si="1"/>
        <v>0</v>
      </c>
    </row>
    <row r="28" spans="1:9" ht="24" customHeight="1">
      <c r="A28" s="1"/>
      <c r="B28" s="3"/>
      <c r="C28" s="107"/>
      <c r="D28" s="3">
        <f>SUM(D4:D27)</f>
        <v>652</v>
      </c>
      <c r="E28" s="107"/>
      <c r="F28" s="3"/>
      <c r="G28" s="109">
        <f>SUM(G4:G27)</f>
        <v>39</v>
      </c>
      <c r="H28" s="109">
        <f>SUM(H4:H27)</f>
        <v>7310000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tr">
        <f>'Tourplan m. sløjfer'!D12</f>
        <v>RBC Heritage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232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12</v>
      </c>
      <c r="B4" s="251">
        <v>19</v>
      </c>
      <c r="C4" s="73">
        <v>39</v>
      </c>
      <c r="D4" s="93">
        <v>27</v>
      </c>
      <c r="E4" s="12"/>
      <c r="F4" s="73">
        <v>1</v>
      </c>
      <c r="G4" s="73">
        <v>10</v>
      </c>
      <c r="H4" s="76">
        <f>N4+I4</f>
        <v>1550000</v>
      </c>
      <c r="I4" s="77">
        <f>IF(E4&gt;0,$N$13,0)+IF(C4&gt;0,50000,0)+IF(C4&lt;0,50000,0)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</row>
    <row r="5" spans="1:14" s="82" customFormat="1" ht="18" customHeight="1">
      <c r="A5" s="154" t="s">
        <v>48</v>
      </c>
      <c r="B5" s="251">
        <v>6.8</v>
      </c>
      <c r="C5" s="73">
        <v>36</v>
      </c>
      <c r="D5" s="93">
        <v>29</v>
      </c>
      <c r="E5" s="12"/>
      <c r="F5" s="73">
        <v>2</v>
      </c>
      <c r="G5" s="73">
        <v>8</v>
      </c>
      <c r="H5" s="76">
        <f aca="true" t="shared" si="0" ref="H5:H11">N5+I5</f>
        <v>1250000</v>
      </c>
      <c r="I5" s="77">
        <f aca="true" t="shared" si="1" ref="I5:I27">IF(E5&gt;0,$N$13,0)+IF(C5&gt;0,50000,0)+IF(C5&lt;0,50000,0)</f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</row>
    <row r="6" spans="1:14" s="82" customFormat="1" ht="18" customHeight="1">
      <c r="A6" s="154" t="s">
        <v>26</v>
      </c>
      <c r="B6" s="251">
        <v>23.7</v>
      </c>
      <c r="C6" s="74">
        <v>36</v>
      </c>
      <c r="D6" s="74">
        <v>27</v>
      </c>
      <c r="E6" s="12"/>
      <c r="F6" s="12">
        <v>3</v>
      </c>
      <c r="G6" s="12">
        <v>6</v>
      </c>
      <c r="H6" s="76">
        <f t="shared" si="0"/>
        <v>950000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</row>
    <row r="7" spans="1:18" s="82" customFormat="1" ht="18" customHeight="1">
      <c r="A7" s="154" t="s">
        <v>30</v>
      </c>
      <c r="B7" s="251">
        <v>11</v>
      </c>
      <c r="C7" s="73">
        <v>35</v>
      </c>
      <c r="D7" s="93">
        <v>34</v>
      </c>
      <c r="E7" s="12"/>
      <c r="F7" s="73">
        <v>4</v>
      </c>
      <c r="G7" s="73">
        <v>5</v>
      </c>
      <c r="H7" s="76">
        <f t="shared" si="0"/>
        <v>770000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87"/>
      <c r="Q7" s="87"/>
      <c r="R7" s="88"/>
    </row>
    <row r="8" spans="1:14" s="82" customFormat="1" ht="18" customHeight="1">
      <c r="A8" s="154" t="s">
        <v>22</v>
      </c>
      <c r="B8" s="251">
        <v>13.8</v>
      </c>
      <c r="C8" s="12">
        <v>35</v>
      </c>
      <c r="D8" s="74">
        <v>31</v>
      </c>
      <c r="E8" s="75"/>
      <c r="F8" s="73">
        <v>5</v>
      </c>
      <c r="G8" s="73">
        <v>4</v>
      </c>
      <c r="H8" s="76">
        <f t="shared" si="0"/>
        <v>650000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600000</v>
      </c>
    </row>
    <row r="9" spans="1:14" s="82" customFormat="1" ht="18" customHeight="1">
      <c r="A9" s="154" t="s">
        <v>38</v>
      </c>
      <c r="B9" s="251">
        <v>14.8</v>
      </c>
      <c r="C9" s="73">
        <v>35</v>
      </c>
      <c r="D9" s="74">
        <v>30</v>
      </c>
      <c r="E9" s="75"/>
      <c r="F9" s="90">
        <v>6</v>
      </c>
      <c r="G9" s="90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</row>
    <row r="10" spans="1:14" s="82" customFormat="1" ht="18" customHeight="1">
      <c r="A10" s="154" t="s">
        <v>24</v>
      </c>
      <c r="B10" s="251">
        <v>17.4</v>
      </c>
      <c r="C10" s="73">
        <v>34</v>
      </c>
      <c r="D10" s="74">
        <v>38</v>
      </c>
      <c r="E10" s="12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</row>
    <row r="11" spans="1:14" s="82" customFormat="1" ht="18" customHeight="1">
      <c r="A11" s="154" t="s">
        <v>28</v>
      </c>
      <c r="B11" s="251">
        <v>12.8</v>
      </c>
      <c r="C11" s="73">
        <v>33</v>
      </c>
      <c r="D11" s="74">
        <v>35</v>
      </c>
      <c r="E11" s="75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</row>
    <row r="12" spans="1:14" s="82" customFormat="1" ht="18" customHeight="1">
      <c r="A12" s="154" t="s">
        <v>18</v>
      </c>
      <c r="B12" s="251">
        <v>14.8</v>
      </c>
      <c r="C12" s="73">
        <v>33</v>
      </c>
      <c r="D12" s="74">
        <v>33</v>
      </c>
      <c r="E12" s="75"/>
      <c r="F12" s="73"/>
      <c r="G12" s="73"/>
      <c r="H12" s="76">
        <f>I12</f>
        <v>50000</v>
      </c>
      <c r="I12" s="77">
        <f t="shared" si="1"/>
        <v>50000</v>
      </c>
      <c r="J12" s="91" t="s">
        <v>94</v>
      </c>
      <c r="K12" s="84"/>
      <c r="L12" s="85"/>
      <c r="M12" s="86"/>
      <c r="N12" s="92">
        <v>6000000</v>
      </c>
    </row>
    <row r="13" spans="1:14" s="82" customFormat="1" ht="18" customHeight="1">
      <c r="A13" s="154" t="s">
        <v>40</v>
      </c>
      <c r="B13" s="251">
        <v>22.1</v>
      </c>
      <c r="C13" s="73">
        <v>33</v>
      </c>
      <c r="D13" s="93">
        <v>34</v>
      </c>
      <c r="E13" s="12"/>
      <c r="F13" s="73"/>
      <c r="G13" s="73"/>
      <c r="H13" s="76">
        <f aca="true" t="shared" si="2" ref="H13:H27">I13</f>
        <v>50000</v>
      </c>
      <c r="I13" s="77">
        <f t="shared" si="1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</row>
    <row r="14" spans="1:14" s="82" customFormat="1" ht="18" customHeight="1">
      <c r="A14" s="154" t="s">
        <v>8</v>
      </c>
      <c r="B14" s="251">
        <v>23.2</v>
      </c>
      <c r="C14" s="74">
        <v>33</v>
      </c>
      <c r="D14" s="74">
        <v>36</v>
      </c>
      <c r="E14" s="12"/>
      <c r="F14" s="73"/>
      <c r="G14" s="73"/>
      <c r="H14" s="76">
        <f t="shared" si="2"/>
        <v>50000</v>
      </c>
      <c r="I14" s="77">
        <f t="shared" si="1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42</v>
      </c>
      <c r="B15" s="251">
        <v>16.7</v>
      </c>
      <c r="C15" s="73">
        <v>32</v>
      </c>
      <c r="D15" s="74">
        <v>37</v>
      </c>
      <c r="E15" s="75"/>
      <c r="F15" s="73"/>
      <c r="G15" s="73"/>
      <c r="H15" s="76">
        <f t="shared" si="2"/>
        <v>50000</v>
      </c>
      <c r="I15" s="77">
        <f t="shared" si="1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50</v>
      </c>
      <c r="B16" s="251">
        <v>23.3</v>
      </c>
      <c r="C16" s="73">
        <v>32</v>
      </c>
      <c r="D16" s="74">
        <v>35</v>
      </c>
      <c r="E16" s="75"/>
      <c r="F16" s="12"/>
      <c r="G16" s="12"/>
      <c r="H16" s="76">
        <f t="shared" si="2"/>
        <v>50000</v>
      </c>
      <c r="I16" s="77">
        <f t="shared" si="1"/>
        <v>50000</v>
      </c>
    </row>
    <row r="17" spans="1:18" s="82" customFormat="1" ht="18" customHeight="1">
      <c r="A17" s="154" t="s">
        <v>10</v>
      </c>
      <c r="B17" s="251">
        <v>15.5</v>
      </c>
      <c r="C17" s="73">
        <v>31</v>
      </c>
      <c r="D17" s="74">
        <v>34</v>
      </c>
      <c r="E17" s="75"/>
      <c r="F17" s="12"/>
      <c r="G17" s="12"/>
      <c r="H17" s="76">
        <f t="shared" si="2"/>
        <v>50000</v>
      </c>
      <c r="I17" s="77">
        <f t="shared" si="1"/>
        <v>50000</v>
      </c>
      <c r="O17" s="87"/>
      <c r="P17" s="87"/>
      <c r="Q17" s="87"/>
      <c r="R17" s="88"/>
    </row>
    <row r="18" spans="1:18" s="82" customFormat="1" ht="18" customHeight="1">
      <c r="A18" s="154" t="s">
        <v>46</v>
      </c>
      <c r="B18" s="251">
        <v>20.7</v>
      </c>
      <c r="C18" s="73">
        <v>30</v>
      </c>
      <c r="D18" s="74">
        <v>36</v>
      </c>
      <c r="E18" s="75"/>
      <c r="F18" s="73"/>
      <c r="G18" s="73"/>
      <c r="H18" s="76">
        <f t="shared" si="2"/>
        <v>50000</v>
      </c>
      <c r="I18" s="77">
        <f t="shared" si="1"/>
        <v>50000</v>
      </c>
      <c r="J18" s="8"/>
      <c r="K18" s="8"/>
      <c r="L18" s="8"/>
      <c r="M18" s="8"/>
      <c r="N18" s="8"/>
      <c r="O18" s="88"/>
      <c r="P18" s="88"/>
      <c r="Q18" s="88"/>
      <c r="R18" s="88"/>
    </row>
    <row r="19" spans="1:18" s="82" customFormat="1" ht="18" customHeight="1">
      <c r="A19" s="154" t="s">
        <v>16</v>
      </c>
      <c r="B19" s="251">
        <v>20.7</v>
      </c>
      <c r="C19" s="73">
        <v>29</v>
      </c>
      <c r="D19" s="93">
        <v>39</v>
      </c>
      <c r="E19" s="75"/>
      <c r="F19" s="73"/>
      <c r="G19" s="73"/>
      <c r="H19" s="76">
        <f t="shared" si="2"/>
        <v>50000</v>
      </c>
      <c r="I19" s="77">
        <f t="shared" si="1"/>
        <v>50000</v>
      </c>
      <c r="J19" s="8"/>
      <c r="K19" s="8"/>
      <c r="L19" s="8"/>
      <c r="M19" s="8"/>
      <c r="N19" s="8"/>
      <c r="O19" s="88"/>
      <c r="P19" s="88"/>
      <c r="Q19" s="88"/>
      <c r="R19" s="88"/>
    </row>
    <row r="20" spans="1:14" s="57" customFormat="1" ht="18" customHeight="1">
      <c r="A20" s="154" t="s">
        <v>52</v>
      </c>
      <c r="B20" s="251">
        <v>13.5</v>
      </c>
      <c r="C20" s="74">
        <v>28</v>
      </c>
      <c r="D20" s="93">
        <v>37</v>
      </c>
      <c r="E20" s="12"/>
      <c r="F20" s="12"/>
      <c r="G20" s="12"/>
      <c r="H20" s="76">
        <f t="shared" si="2"/>
        <v>50000</v>
      </c>
      <c r="I20" s="77">
        <f t="shared" si="1"/>
        <v>50000</v>
      </c>
      <c r="J20" s="8"/>
      <c r="K20" s="8"/>
      <c r="L20" s="8"/>
      <c r="M20" s="8"/>
      <c r="N20" s="8"/>
    </row>
    <row r="21" spans="1:14" s="57" customFormat="1" ht="18" customHeight="1">
      <c r="A21" s="154" t="s">
        <v>34</v>
      </c>
      <c r="B21" s="251">
        <v>14</v>
      </c>
      <c r="C21" s="74">
        <v>28</v>
      </c>
      <c r="D21" s="93">
        <v>37</v>
      </c>
      <c r="E21" s="75"/>
      <c r="F21" s="12"/>
      <c r="G21" s="12"/>
      <c r="H21" s="76">
        <f t="shared" si="2"/>
        <v>50000</v>
      </c>
      <c r="I21" s="77">
        <f t="shared" si="1"/>
        <v>50000</v>
      </c>
      <c r="J21" s="8"/>
      <c r="K21" s="8"/>
      <c r="L21" s="8"/>
      <c r="M21" s="8"/>
      <c r="N21" s="8"/>
    </row>
    <row r="22" spans="1:14" s="57" customFormat="1" ht="18" customHeight="1">
      <c r="A22" s="154" t="s">
        <v>14</v>
      </c>
      <c r="B22" s="251">
        <v>11.8</v>
      </c>
      <c r="C22" s="73">
        <v>27</v>
      </c>
      <c r="D22" s="74">
        <v>37</v>
      </c>
      <c r="E22" s="75">
        <v>1.7</v>
      </c>
      <c r="F22" s="12"/>
      <c r="G22" s="12"/>
      <c r="H22" s="76">
        <f t="shared" si="2"/>
        <v>410000</v>
      </c>
      <c r="I22" s="77">
        <f t="shared" si="1"/>
        <v>410000</v>
      </c>
      <c r="J22" s="8"/>
      <c r="K22" s="8"/>
      <c r="L22" s="8"/>
      <c r="M22" s="8"/>
      <c r="N22" s="8"/>
    </row>
    <row r="23" spans="1:14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 t="shared" si="1"/>
        <v>0</v>
      </c>
      <c r="J23" s="8"/>
      <c r="K23" s="8"/>
      <c r="L23" s="8"/>
      <c r="M23" s="8"/>
      <c r="N23" s="8"/>
    </row>
    <row r="24" spans="1:14" s="57" customFormat="1" ht="18" customHeight="1">
      <c r="A24" s="154"/>
      <c r="B24" s="251"/>
      <c r="C24" s="93"/>
      <c r="D24" s="74"/>
      <c r="E24" s="12"/>
      <c r="F24" s="12"/>
      <c r="G24" s="12"/>
      <c r="H24" s="76">
        <f t="shared" si="2"/>
        <v>0</v>
      </c>
      <c r="I24" s="77">
        <f t="shared" si="1"/>
        <v>0</v>
      </c>
      <c r="J24" s="8"/>
      <c r="K24" s="8"/>
      <c r="L24" s="8"/>
      <c r="M24" s="8"/>
      <c r="N24" s="8"/>
    </row>
    <row r="25" spans="1:14" s="57" customFormat="1" ht="18" customHeight="1">
      <c r="A25" s="154"/>
      <c r="B25" s="251"/>
      <c r="C25" s="73"/>
      <c r="D25" s="74"/>
      <c r="E25" s="12"/>
      <c r="F25" s="12"/>
      <c r="G25" s="12"/>
      <c r="H25" s="76">
        <f t="shared" si="2"/>
        <v>0</v>
      </c>
      <c r="I25" s="77">
        <f t="shared" si="1"/>
        <v>0</v>
      </c>
      <c r="J25" s="8"/>
      <c r="K25" s="8"/>
      <c r="L25" s="8"/>
      <c r="M25" s="8"/>
      <c r="N25" s="8"/>
    </row>
    <row r="26" spans="1:14" s="57" customFormat="1" ht="18" customHeight="1">
      <c r="A26" s="154"/>
      <c r="B26" s="251"/>
      <c r="C26" s="74"/>
      <c r="D26" s="74"/>
      <c r="E26" s="12"/>
      <c r="F26" s="73"/>
      <c r="G26" s="73"/>
      <c r="H26" s="76">
        <f t="shared" si="2"/>
        <v>0</v>
      </c>
      <c r="I26" s="77">
        <f t="shared" si="1"/>
        <v>0</v>
      </c>
      <c r="J26" s="8"/>
      <c r="K26" s="8"/>
      <c r="L26" s="8"/>
      <c r="M26" s="8"/>
      <c r="N26" s="8"/>
    </row>
    <row r="27" spans="1:14" s="57" customFormat="1" ht="18" customHeight="1">
      <c r="A27" s="154"/>
      <c r="B27" s="251"/>
      <c r="C27" s="73"/>
      <c r="D27" s="74"/>
      <c r="E27" s="75"/>
      <c r="F27" s="73"/>
      <c r="G27" s="73"/>
      <c r="H27" s="76">
        <f t="shared" si="2"/>
        <v>0</v>
      </c>
      <c r="I27" s="77">
        <f t="shared" si="1"/>
        <v>0</v>
      </c>
      <c r="J27" s="8"/>
      <c r="K27" s="8"/>
      <c r="L27" s="8"/>
      <c r="M27" s="8"/>
      <c r="N27" s="8"/>
    </row>
    <row r="28" spans="1:9" ht="24" customHeight="1">
      <c r="A28" s="1"/>
      <c r="B28" s="3"/>
      <c r="C28" s="107"/>
      <c r="D28" s="109">
        <f>SUM(D4:D27)</f>
        <v>646</v>
      </c>
      <c r="E28" s="107"/>
      <c r="F28" s="3"/>
      <c r="G28" s="109">
        <f>SUM(G4:G27)</f>
        <v>39</v>
      </c>
      <c r="H28" s="109">
        <f>SUM(H4:H27)</f>
        <v>7310000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portrait" paperSize="9" scale="61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tr">
        <f>'Tourplan m. sløjfer'!D11</f>
        <v>MASTERS TOURNAMENT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4" s="57" customFormat="1" ht="29.25" customHeight="1">
      <c r="B2" s="450" t="s">
        <v>222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</row>
    <row r="4" spans="1:14" s="82" customFormat="1" ht="18" customHeight="1">
      <c r="A4" s="154" t="s">
        <v>32</v>
      </c>
      <c r="B4" s="251">
        <v>14.4</v>
      </c>
      <c r="C4" s="74">
        <v>34</v>
      </c>
      <c r="D4" s="93">
        <v>32</v>
      </c>
      <c r="E4" s="12"/>
      <c r="F4" s="73">
        <v>1</v>
      </c>
      <c r="G4" s="73">
        <v>10</v>
      </c>
      <c r="H4" s="76">
        <f>N4+I4</f>
        <v>2050000</v>
      </c>
      <c r="I4" s="77">
        <f>IF(E4&gt;0,$N$13,0)+IF(C4&gt;0,50000,0)+IF(C4&lt;0,50000,0)</f>
        <v>50000</v>
      </c>
      <c r="J4" s="78" t="s">
        <v>86</v>
      </c>
      <c r="K4" s="79"/>
      <c r="L4" s="80"/>
      <c r="M4" s="81">
        <v>10</v>
      </c>
      <c r="N4" s="76">
        <f>N12*25%</f>
        <v>2000000</v>
      </c>
    </row>
    <row r="5" spans="1:14" s="82" customFormat="1" ht="18" customHeight="1">
      <c r="A5" s="154" t="s">
        <v>10</v>
      </c>
      <c r="B5" s="251">
        <v>15.4</v>
      </c>
      <c r="C5" s="12">
        <v>32</v>
      </c>
      <c r="D5" s="74">
        <v>30</v>
      </c>
      <c r="E5" s="12"/>
      <c r="F5" s="73">
        <v>2</v>
      </c>
      <c r="G5" s="73">
        <v>8</v>
      </c>
      <c r="H5" s="76">
        <f aca="true" t="shared" si="0" ref="H5:H11">N5+I5</f>
        <v>1650000</v>
      </c>
      <c r="I5" s="77">
        <f aca="true" t="shared" si="1" ref="I5:I27">IF(E5&gt;0,$N$13,0)+IF(C5&gt;0,50000,0)+IF(C5&lt;0,50000,0)</f>
        <v>50000</v>
      </c>
      <c r="J5" s="83" t="s">
        <v>87</v>
      </c>
      <c r="K5" s="84"/>
      <c r="L5" s="85"/>
      <c r="M5" s="86">
        <v>8</v>
      </c>
      <c r="N5" s="76">
        <f>N12*20%</f>
        <v>1600000</v>
      </c>
    </row>
    <row r="6" spans="1:14" s="82" customFormat="1" ht="18" customHeight="1">
      <c r="A6" s="154" t="s">
        <v>48</v>
      </c>
      <c r="B6" s="251">
        <v>6.6</v>
      </c>
      <c r="C6" s="73">
        <v>30</v>
      </c>
      <c r="D6" s="93">
        <v>34</v>
      </c>
      <c r="E6" s="75" t="s">
        <v>224</v>
      </c>
      <c r="F6" s="12">
        <v>3</v>
      </c>
      <c r="G6" s="12">
        <v>6</v>
      </c>
      <c r="H6" s="76">
        <v>1830000</v>
      </c>
      <c r="I6" s="77">
        <f t="shared" si="1"/>
        <v>530000</v>
      </c>
      <c r="J6" s="83" t="s">
        <v>88</v>
      </c>
      <c r="K6" s="84"/>
      <c r="L6" s="85"/>
      <c r="M6" s="86">
        <v>6</v>
      </c>
      <c r="N6" s="76">
        <f>N12*15%</f>
        <v>1200000</v>
      </c>
    </row>
    <row r="7" spans="1:18" s="82" customFormat="1" ht="18" customHeight="1">
      <c r="A7" s="154" t="s">
        <v>30</v>
      </c>
      <c r="B7" s="251">
        <v>10.9</v>
      </c>
      <c r="C7" s="73">
        <v>30</v>
      </c>
      <c r="D7" s="74">
        <v>31</v>
      </c>
      <c r="E7" s="12">
        <v>8.36</v>
      </c>
      <c r="F7" s="73">
        <v>4</v>
      </c>
      <c r="G7" s="73">
        <v>5</v>
      </c>
      <c r="H7" s="76">
        <v>1110000</v>
      </c>
      <c r="I7" s="77">
        <f t="shared" si="1"/>
        <v>530000</v>
      </c>
      <c r="J7" s="83" t="s">
        <v>89</v>
      </c>
      <c r="K7" s="84"/>
      <c r="L7" s="85"/>
      <c r="M7" s="86">
        <v>5</v>
      </c>
      <c r="N7" s="76">
        <f>N12*12%</f>
        <v>960000</v>
      </c>
      <c r="O7" s="87"/>
      <c r="P7" s="87"/>
      <c r="Q7" s="87"/>
      <c r="R7" s="88"/>
    </row>
    <row r="8" spans="1:14" s="82" customFormat="1" ht="18" customHeight="1">
      <c r="A8" s="154" t="s">
        <v>28</v>
      </c>
      <c r="B8" s="251">
        <v>12.6</v>
      </c>
      <c r="C8" s="73">
        <v>30</v>
      </c>
      <c r="D8" s="74">
        <v>34</v>
      </c>
      <c r="E8" s="12"/>
      <c r="F8" s="73">
        <v>5</v>
      </c>
      <c r="G8" s="73">
        <v>4</v>
      </c>
      <c r="H8" s="76">
        <f t="shared" si="0"/>
        <v>850000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800000</v>
      </c>
    </row>
    <row r="9" spans="1:14" s="82" customFormat="1" ht="18" customHeight="1">
      <c r="A9" s="154" t="s">
        <v>18</v>
      </c>
      <c r="B9" s="251">
        <v>14.7</v>
      </c>
      <c r="C9" s="73">
        <v>30</v>
      </c>
      <c r="D9" s="74">
        <v>33</v>
      </c>
      <c r="E9" s="12"/>
      <c r="F9" s="90">
        <v>6</v>
      </c>
      <c r="G9" s="90">
        <v>3</v>
      </c>
      <c r="H9" s="76">
        <f t="shared" si="0"/>
        <v>690000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640000</v>
      </c>
    </row>
    <row r="10" spans="1:14" s="82" customFormat="1" ht="18" customHeight="1">
      <c r="A10" s="154" t="s">
        <v>22</v>
      </c>
      <c r="B10" s="251">
        <v>13.7</v>
      </c>
      <c r="C10" s="74">
        <v>27</v>
      </c>
      <c r="D10" s="93">
        <v>35</v>
      </c>
      <c r="E10" s="75">
        <v>8.02</v>
      </c>
      <c r="F10" s="73">
        <v>7</v>
      </c>
      <c r="G10" s="73">
        <v>2</v>
      </c>
      <c r="H10" s="76">
        <v>630000</v>
      </c>
      <c r="I10" s="77">
        <f t="shared" si="1"/>
        <v>530000</v>
      </c>
      <c r="J10" s="83" t="s">
        <v>92</v>
      </c>
      <c r="K10" s="84"/>
      <c r="L10" s="85"/>
      <c r="M10" s="86">
        <v>2</v>
      </c>
      <c r="N10" s="76">
        <f>N12*6%</f>
        <v>480000</v>
      </c>
    </row>
    <row r="11" spans="1:14" s="82" customFormat="1" ht="18" customHeight="1">
      <c r="A11" s="154" t="s">
        <v>44</v>
      </c>
      <c r="B11" s="251">
        <v>14.2</v>
      </c>
      <c r="C11" s="73">
        <v>27</v>
      </c>
      <c r="D11" s="93">
        <v>35</v>
      </c>
      <c r="E11" s="75"/>
      <c r="F11" s="73">
        <v>8</v>
      </c>
      <c r="G11" s="73">
        <v>1</v>
      </c>
      <c r="H11" s="76">
        <f t="shared" si="0"/>
        <v>370000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320000</v>
      </c>
    </row>
    <row r="12" spans="1:14" s="82" customFormat="1" ht="18" customHeight="1">
      <c r="A12" s="154" t="s">
        <v>38</v>
      </c>
      <c r="B12" s="251">
        <v>14.7</v>
      </c>
      <c r="C12" s="12">
        <v>27</v>
      </c>
      <c r="D12" s="93">
        <v>36</v>
      </c>
      <c r="E12" s="75"/>
      <c r="F12" s="73"/>
      <c r="G12" s="73"/>
      <c r="H12" s="76">
        <f>I12</f>
        <v>50000</v>
      </c>
      <c r="I12" s="77">
        <f t="shared" si="1"/>
        <v>50000</v>
      </c>
      <c r="J12" s="91" t="s">
        <v>94</v>
      </c>
      <c r="K12" s="84"/>
      <c r="L12" s="85"/>
      <c r="M12" s="86"/>
      <c r="N12" s="92">
        <v>8000000</v>
      </c>
    </row>
    <row r="13" spans="1:14" s="82" customFormat="1" ht="18" customHeight="1">
      <c r="A13" s="154" t="s">
        <v>8</v>
      </c>
      <c r="B13" s="251">
        <v>23.1</v>
      </c>
      <c r="C13" s="74">
        <v>25</v>
      </c>
      <c r="D13" s="74">
        <v>39</v>
      </c>
      <c r="E13" s="75"/>
      <c r="F13" s="73"/>
      <c r="G13" s="73"/>
      <c r="H13" s="76">
        <f aca="true" t="shared" si="2" ref="H13:H27">I13</f>
        <v>50000</v>
      </c>
      <c r="I13" s="77">
        <f t="shared" si="1"/>
        <v>50000</v>
      </c>
      <c r="J13" s="94" t="s">
        <v>95</v>
      </c>
      <c r="K13" s="95"/>
      <c r="L13" s="96"/>
      <c r="M13" s="97">
        <v>1</v>
      </c>
      <c r="N13" s="98">
        <f>N10</f>
        <v>480000</v>
      </c>
    </row>
    <row r="14" spans="1:14" s="82" customFormat="1" ht="18" customHeight="1">
      <c r="A14" s="154" t="s">
        <v>42</v>
      </c>
      <c r="B14" s="251">
        <v>16.6</v>
      </c>
      <c r="C14" s="74">
        <v>24</v>
      </c>
      <c r="D14" s="74">
        <v>39</v>
      </c>
      <c r="E14" s="75"/>
      <c r="F14" s="73"/>
      <c r="G14" s="73"/>
      <c r="H14" s="76">
        <f t="shared" si="2"/>
        <v>50000</v>
      </c>
      <c r="I14" s="77">
        <f t="shared" si="1"/>
        <v>50000</v>
      </c>
      <c r="J14" s="99"/>
      <c r="K14" s="95"/>
      <c r="L14" s="95"/>
      <c r="M14" s="100"/>
      <c r="N14" s="101"/>
    </row>
    <row r="15" spans="1:14" s="82" customFormat="1" ht="18" customHeight="1">
      <c r="A15" s="154" t="s">
        <v>16</v>
      </c>
      <c r="B15" s="251">
        <v>20.6</v>
      </c>
      <c r="C15" s="93">
        <v>24</v>
      </c>
      <c r="D15" s="74">
        <v>37</v>
      </c>
      <c r="E15" s="75"/>
      <c r="F15" s="73"/>
      <c r="G15" s="73"/>
      <c r="H15" s="76">
        <f t="shared" si="2"/>
        <v>50000</v>
      </c>
      <c r="I15" s="77">
        <f t="shared" si="1"/>
        <v>50000</v>
      </c>
      <c r="J15" s="102"/>
      <c r="K15" s="103"/>
      <c r="L15" s="103"/>
      <c r="M15" s="104"/>
      <c r="N15" s="105"/>
    </row>
    <row r="16" spans="1:9" s="82" customFormat="1" ht="18" customHeight="1">
      <c r="A16" s="154" t="s">
        <v>34</v>
      </c>
      <c r="B16" s="251">
        <v>13.8</v>
      </c>
      <c r="C16" s="74">
        <v>23</v>
      </c>
      <c r="D16" s="74">
        <v>37</v>
      </c>
      <c r="E16" s="75"/>
      <c r="F16" s="12"/>
      <c r="G16" s="12"/>
      <c r="H16" s="76">
        <f t="shared" si="2"/>
        <v>50000</v>
      </c>
      <c r="I16" s="77">
        <f t="shared" si="1"/>
        <v>50000</v>
      </c>
    </row>
    <row r="17" spans="1:18" s="82" customFormat="1" ht="18" customHeight="1">
      <c r="A17" s="154" t="s">
        <v>26</v>
      </c>
      <c r="B17" s="251">
        <v>23.6</v>
      </c>
      <c r="C17" s="73">
        <v>22</v>
      </c>
      <c r="D17" s="93">
        <v>41</v>
      </c>
      <c r="E17" s="90"/>
      <c r="F17" s="12"/>
      <c r="G17" s="12"/>
      <c r="H17" s="76">
        <f t="shared" si="2"/>
        <v>50000</v>
      </c>
      <c r="I17" s="77">
        <f t="shared" si="1"/>
        <v>50000</v>
      </c>
      <c r="O17" s="87"/>
      <c r="P17" s="87"/>
      <c r="Q17" s="87"/>
      <c r="R17" s="88"/>
    </row>
    <row r="18" spans="1:13" s="82" customFormat="1" ht="18" customHeight="1">
      <c r="A18" s="154" t="s">
        <v>36</v>
      </c>
      <c r="B18" s="251">
        <v>19.9</v>
      </c>
      <c r="C18" s="73">
        <v>21</v>
      </c>
      <c r="D18" s="74">
        <v>39</v>
      </c>
      <c r="E18" s="12"/>
      <c r="F18" s="73"/>
      <c r="G18" s="73"/>
      <c r="H18" s="76">
        <f t="shared" si="2"/>
        <v>50000</v>
      </c>
      <c r="I18" s="77">
        <f t="shared" si="1"/>
        <v>50000</v>
      </c>
      <c r="J18" s="88"/>
      <c r="K18" s="88"/>
      <c r="L18" s="88"/>
      <c r="M18" s="88"/>
    </row>
    <row r="19" spans="1:13" s="82" customFormat="1" ht="18" customHeight="1">
      <c r="A19" s="154" t="s">
        <v>46</v>
      </c>
      <c r="B19" s="251">
        <v>20.6</v>
      </c>
      <c r="C19" s="73">
        <v>20</v>
      </c>
      <c r="D19" s="74">
        <v>43</v>
      </c>
      <c r="E19" s="75"/>
      <c r="F19" s="73"/>
      <c r="G19" s="73"/>
      <c r="H19" s="76">
        <f t="shared" si="2"/>
        <v>50000</v>
      </c>
      <c r="I19" s="77">
        <f t="shared" si="1"/>
        <v>50000</v>
      </c>
      <c r="J19" s="88"/>
      <c r="K19" s="88"/>
      <c r="L19" s="88"/>
      <c r="M19" s="88"/>
    </row>
    <row r="20" spans="1:9" s="57" customFormat="1" ht="18" customHeight="1">
      <c r="A20" s="154" t="s">
        <v>40</v>
      </c>
      <c r="B20" s="251">
        <v>22</v>
      </c>
      <c r="C20" s="74">
        <v>13</v>
      </c>
      <c r="D20" s="74">
        <v>43</v>
      </c>
      <c r="E20" s="75"/>
      <c r="F20" s="12"/>
      <c r="G20" s="12"/>
      <c r="H20" s="76">
        <f t="shared" si="2"/>
        <v>50000</v>
      </c>
      <c r="I20" s="77">
        <f t="shared" si="1"/>
        <v>50000</v>
      </c>
    </row>
    <row r="21" spans="1:9" s="57" customFormat="1" ht="18" customHeight="1">
      <c r="A21" s="154" t="s">
        <v>24</v>
      </c>
      <c r="B21" s="251">
        <v>17.3</v>
      </c>
      <c r="C21" s="73" t="s">
        <v>223</v>
      </c>
      <c r="D21" s="74"/>
      <c r="E21" s="12"/>
      <c r="F21" s="12"/>
      <c r="G21" s="12"/>
      <c r="H21" s="76">
        <f t="shared" si="2"/>
        <v>50000</v>
      </c>
      <c r="I21" s="77">
        <f t="shared" si="1"/>
        <v>50000</v>
      </c>
    </row>
    <row r="22" spans="1:9" s="57" customFormat="1" ht="18" customHeight="1">
      <c r="A22" s="154"/>
      <c r="B22" s="251"/>
      <c r="C22" s="73"/>
      <c r="D22" s="74"/>
      <c r="E22" s="75"/>
      <c r="F22" s="12"/>
      <c r="G22" s="12"/>
      <c r="H22" s="76">
        <f t="shared" si="2"/>
        <v>0</v>
      </c>
      <c r="I22" s="77">
        <f t="shared" si="1"/>
        <v>0</v>
      </c>
    </row>
    <row r="23" spans="1:9" s="57" customFormat="1" ht="18" customHeight="1">
      <c r="A23" s="154"/>
      <c r="B23" s="251"/>
      <c r="C23" s="73"/>
      <c r="D23" s="93"/>
      <c r="E23" s="75"/>
      <c r="F23" s="12"/>
      <c r="G23" s="12"/>
      <c r="H23" s="76">
        <f t="shared" si="2"/>
        <v>0</v>
      </c>
      <c r="I23" s="77">
        <f t="shared" si="1"/>
        <v>0</v>
      </c>
    </row>
    <row r="24" spans="1:9" s="57" customFormat="1" ht="18" customHeight="1">
      <c r="A24" s="154"/>
      <c r="B24" s="251"/>
      <c r="C24" s="73"/>
      <c r="D24" s="93"/>
      <c r="E24" s="75"/>
      <c r="F24" s="12"/>
      <c r="G24" s="12"/>
      <c r="H24" s="76">
        <f t="shared" si="2"/>
        <v>0</v>
      </c>
      <c r="I24" s="77">
        <f t="shared" si="1"/>
        <v>0</v>
      </c>
    </row>
    <row r="25" spans="1:9" s="57" customFormat="1" ht="18" customHeight="1">
      <c r="A25" s="154"/>
      <c r="B25" s="251"/>
      <c r="C25" s="73"/>
      <c r="D25" s="74"/>
      <c r="E25" s="75"/>
      <c r="F25" s="12"/>
      <c r="G25" s="12"/>
      <c r="H25" s="76">
        <f t="shared" si="2"/>
        <v>0</v>
      </c>
      <c r="I25" s="77">
        <f t="shared" si="1"/>
        <v>0</v>
      </c>
    </row>
    <row r="26" spans="1:9" s="57" customFormat="1" ht="18" customHeight="1">
      <c r="A26" s="154"/>
      <c r="B26" s="251"/>
      <c r="C26" s="73"/>
      <c r="D26" s="74"/>
      <c r="E26" s="12"/>
      <c r="F26" s="73"/>
      <c r="G26" s="73"/>
      <c r="H26" s="76">
        <f t="shared" si="2"/>
        <v>0</v>
      </c>
      <c r="I26" s="77">
        <f t="shared" si="1"/>
        <v>0</v>
      </c>
    </row>
    <row r="27" spans="1:9" s="57" customFormat="1" ht="18" customHeight="1">
      <c r="A27" s="154"/>
      <c r="B27" s="251"/>
      <c r="C27" s="73"/>
      <c r="D27" s="74"/>
      <c r="E27" s="75"/>
      <c r="F27" s="73"/>
      <c r="G27" s="73"/>
      <c r="H27" s="76">
        <f t="shared" si="2"/>
        <v>0</v>
      </c>
      <c r="I27" s="77">
        <f t="shared" si="1"/>
        <v>0</v>
      </c>
    </row>
    <row r="28" spans="1:9" ht="24" customHeight="1">
      <c r="A28" s="1"/>
      <c r="B28" s="3"/>
      <c r="C28" s="107"/>
      <c r="D28" s="124">
        <f>SUM(D4:D27)</f>
        <v>618</v>
      </c>
      <c r="E28" s="107"/>
      <c r="F28" s="3"/>
      <c r="G28" s="109">
        <f>SUM(G4:G27)</f>
        <v>39</v>
      </c>
      <c r="H28" s="109">
        <f>SUM(H4:H27)</f>
        <v>9680000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174" customWidth="1"/>
    <col min="17" max="16384" width="9.140625" style="8" customWidth="1"/>
  </cols>
  <sheetData>
    <row r="1" spans="2:16" s="57" customFormat="1" ht="43.5" customHeight="1">
      <c r="B1" s="441" t="str">
        <f>'Tourplan m. sløjfer'!D10</f>
        <v>Shell Houston Open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P1" s="171"/>
    </row>
    <row r="2" spans="2:16" s="57" customFormat="1" ht="29.25" customHeight="1">
      <c r="B2" s="450" t="s">
        <v>216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P2" s="171"/>
    </row>
    <row r="3" spans="1:16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  <c r="P3" s="172"/>
    </row>
    <row r="4" spans="1:16" s="82" customFormat="1" ht="18" customHeight="1">
      <c r="A4" s="154" t="s">
        <v>12</v>
      </c>
      <c r="B4" s="251">
        <v>19</v>
      </c>
      <c r="C4" s="73">
        <v>35</v>
      </c>
      <c r="D4" s="74">
        <v>33</v>
      </c>
      <c r="E4" s="75"/>
      <c r="F4" s="73">
        <v>1</v>
      </c>
      <c r="G4" s="73">
        <v>10</v>
      </c>
      <c r="H4" s="76">
        <f>N4+I4</f>
        <v>1550000</v>
      </c>
      <c r="I4" s="77">
        <f>IF(E4&gt;0,$N$13,0)+IF(C4&gt;0,50000,0)+IF(C4&lt;0,50000,0)</f>
        <v>50000</v>
      </c>
      <c r="J4" s="78" t="s">
        <v>86</v>
      </c>
      <c r="K4" s="79"/>
      <c r="L4" s="80"/>
      <c r="M4" s="81">
        <v>10</v>
      </c>
      <c r="N4" s="76">
        <f>N12*25%</f>
        <v>1500000</v>
      </c>
      <c r="P4" s="173"/>
    </row>
    <row r="5" spans="1:16" s="82" customFormat="1" ht="18" customHeight="1">
      <c r="A5" s="154" t="s">
        <v>30</v>
      </c>
      <c r="B5" s="251">
        <v>10.8</v>
      </c>
      <c r="C5" s="74">
        <v>32</v>
      </c>
      <c r="D5" s="93">
        <v>31</v>
      </c>
      <c r="E5" s="75"/>
      <c r="F5" s="73">
        <v>2</v>
      </c>
      <c r="G5" s="73">
        <v>8</v>
      </c>
      <c r="H5" s="76">
        <f aca="true" t="shared" si="0" ref="H5:H11">N5+I5</f>
        <v>1250000</v>
      </c>
      <c r="I5" s="77">
        <f aca="true" t="shared" si="1" ref="I5:I27">IF(E5&gt;0,$N$13,0)+IF(C5&gt;0,50000,0)+IF(C5&lt;0,50000,0)</f>
        <v>50000</v>
      </c>
      <c r="J5" s="83" t="s">
        <v>87</v>
      </c>
      <c r="K5" s="84"/>
      <c r="L5" s="85"/>
      <c r="M5" s="86">
        <v>8</v>
      </c>
      <c r="N5" s="76">
        <f>N12*20%</f>
        <v>1200000</v>
      </c>
      <c r="P5" s="173"/>
    </row>
    <row r="6" spans="1:16" s="82" customFormat="1" ht="18" customHeight="1">
      <c r="A6" s="154" t="s">
        <v>171</v>
      </c>
      <c r="B6" s="251">
        <v>11.6</v>
      </c>
      <c r="C6" s="73">
        <v>32</v>
      </c>
      <c r="D6" s="74">
        <v>36</v>
      </c>
      <c r="E6" s="75"/>
      <c r="F6" s="12">
        <v>3</v>
      </c>
      <c r="G6" s="12">
        <v>6</v>
      </c>
      <c r="H6" s="76">
        <f>N6+50000+100000</f>
        <v>1050000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900000</v>
      </c>
      <c r="P6" s="173"/>
    </row>
    <row r="7" spans="1:18" s="82" customFormat="1" ht="18" customHeight="1">
      <c r="A7" s="154" t="s">
        <v>42</v>
      </c>
      <c r="B7" s="251">
        <v>16.5</v>
      </c>
      <c r="C7" s="73">
        <v>31</v>
      </c>
      <c r="D7" s="74">
        <v>35</v>
      </c>
      <c r="E7" s="12"/>
      <c r="F7" s="73">
        <v>4</v>
      </c>
      <c r="G7" s="73">
        <v>5</v>
      </c>
      <c r="H7" s="76">
        <f>N7+50000+100000</f>
        <v>870000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720000</v>
      </c>
      <c r="O7" s="87"/>
      <c r="P7" s="173"/>
      <c r="Q7" s="87"/>
      <c r="R7" s="88"/>
    </row>
    <row r="8" spans="1:16" s="82" customFormat="1" ht="18" customHeight="1">
      <c r="A8" s="154" t="s">
        <v>32</v>
      </c>
      <c r="B8" s="251">
        <v>14.3</v>
      </c>
      <c r="C8" s="12">
        <v>28</v>
      </c>
      <c r="D8" s="74">
        <v>32</v>
      </c>
      <c r="E8" s="75">
        <v>4.13</v>
      </c>
      <c r="F8" s="73">
        <v>5</v>
      </c>
      <c r="G8" s="73">
        <v>4</v>
      </c>
      <c r="H8" s="76">
        <f t="shared" si="0"/>
        <v>1010000</v>
      </c>
      <c r="I8" s="77">
        <f t="shared" si="1"/>
        <v>410000</v>
      </c>
      <c r="J8" s="83" t="s">
        <v>90</v>
      </c>
      <c r="K8" s="84"/>
      <c r="L8" s="85"/>
      <c r="M8" s="86">
        <v>4</v>
      </c>
      <c r="N8" s="76">
        <f>N12*10%</f>
        <v>600000</v>
      </c>
      <c r="P8" s="173"/>
    </row>
    <row r="9" spans="1:16" s="82" customFormat="1" ht="18" customHeight="1">
      <c r="A9" s="154" t="s">
        <v>18</v>
      </c>
      <c r="B9" s="251">
        <v>14.6</v>
      </c>
      <c r="C9" s="74">
        <v>27</v>
      </c>
      <c r="D9" s="74">
        <v>33</v>
      </c>
      <c r="E9" s="75"/>
      <c r="F9" s="90">
        <v>6</v>
      </c>
      <c r="G9" s="90">
        <v>3</v>
      </c>
      <c r="H9" s="76">
        <f t="shared" si="0"/>
        <v>530000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480000</v>
      </c>
      <c r="P9" s="173"/>
    </row>
    <row r="10" spans="1:16" s="82" customFormat="1" ht="18" customHeight="1">
      <c r="A10" s="154" t="s">
        <v>8</v>
      </c>
      <c r="B10" s="251">
        <v>23</v>
      </c>
      <c r="C10" s="73">
        <v>27</v>
      </c>
      <c r="D10" s="74">
        <v>38</v>
      </c>
      <c r="E10" s="75"/>
      <c r="F10" s="73">
        <v>7</v>
      </c>
      <c r="G10" s="73">
        <v>2</v>
      </c>
      <c r="H10" s="76">
        <f t="shared" si="0"/>
        <v>410000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360000</v>
      </c>
      <c r="P10" s="173"/>
    </row>
    <row r="11" spans="1:16" s="82" customFormat="1" ht="18" customHeight="1">
      <c r="A11" s="154" t="s">
        <v>52</v>
      </c>
      <c r="B11" s="251">
        <v>13.4</v>
      </c>
      <c r="C11" s="73">
        <v>26</v>
      </c>
      <c r="D11" s="74">
        <v>34</v>
      </c>
      <c r="E11" s="12"/>
      <c r="F11" s="73">
        <v>8</v>
      </c>
      <c r="G11" s="73">
        <v>1</v>
      </c>
      <c r="H11" s="76">
        <f t="shared" si="0"/>
        <v>290000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240000</v>
      </c>
      <c r="P11" s="173"/>
    </row>
    <row r="12" spans="1:16" s="82" customFormat="1" ht="18" customHeight="1">
      <c r="A12" s="154" t="s">
        <v>44</v>
      </c>
      <c r="B12" s="251">
        <v>14.1</v>
      </c>
      <c r="C12" s="73">
        <v>26</v>
      </c>
      <c r="D12" s="74">
        <v>34</v>
      </c>
      <c r="E12" s="75"/>
      <c r="F12" s="73"/>
      <c r="G12" s="73"/>
      <c r="H12" s="76">
        <f>I12</f>
        <v>50000</v>
      </c>
      <c r="I12" s="77">
        <f t="shared" si="1"/>
        <v>50000</v>
      </c>
      <c r="J12" s="91" t="s">
        <v>94</v>
      </c>
      <c r="K12" s="84"/>
      <c r="L12" s="85"/>
      <c r="M12" s="86"/>
      <c r="N12" s="92">
        <v>6000000</v>
      </c>
      <c r="P12" s="173"/>
    </row>
    <row r="13" spans="1:16" s="82" customFormat="1" ht="18" customHeight="1">
      <c r="A13" s="154" t="s">
        <v>24</v>
      </c>
      <c r="B13" s="251">
        <v>17.3</v>
      </c>
      <c r="C13" s="74">
        <v>26</v>
      </c>
      <c r="D13" s="93">
        <v>40</v>
      </c>
      <c r="E13" s="75"/>
      <c r="F13" s="73"/>
      <c r="G13" s="73"/>
      <c r="H13" s="76">
        <f aca="true" t="shared" si="2" ref="H13:H27">I13</f>
        <v>50000</v>
      </c>
      <c r="I13" s="77">
        <f t="shared" si="1"/>
        <v>50000</v>
      </c>
      <c r="J13" s="94" t="s">
        <v>95</v>
      </c>
      <c r="K13" s="95"/>
      <c r="L13" s="96"/>
      <c r="M13" s="97">
        <v>1</v>
      </c>
      <c r="N13" s="98">
        <f>N10</f>
        <v>360000</v>
      </c>
      <c r="P13" s="173"/>
    </row>
    <row r="14" spans="1:16" s="82" customFormat="1" ht="18" customHeight="1">
      <c r="A14" s="154" t="s">
        <v>50</v>
      </c>
      <c r="B14" s="251">
        <v>24.4</v>
      </c>
      <c r="C14" s="73">
        <v>26</v>
      </c>
      <c r="D14" s="74">
        <v>37</v>
      </c>
      <c r="E14" s="75"/>
      <c r="F14" s="73"/>
      <c r="G14" s="73"/>
      <c r="H14" s="76">
        <f t="shared" si="2"/>
        <v>50000</v>
      </c>
      <c r="I14" s="77">
        <f t="shared" si="1"/>
        <v>50000</v>
      </c>
      <c r="J14" s="99"/>
      <c r="K14" s="95"/>
      <c r="L14" s="95"/>
      <c r="M14" s="100"/>
      <c r="N14" s="101"/>
      <c r="P14" s="173"/>
    </row>
    <row r="15" spans="1:16" s="82" customFormat="1" ht="18" customHeight="1">
      <c r="A15" s="154" t="s">
        <v>10</v>
      </c>
      <c r="B15" s="251">
        <v>15.3</v>
      </c>
      <c r="C15" s="73">
        <v>25</v>
      </c>
      <c r="D15" s="74">
        <v>32</v>
      </c>
      <c r="E15" s="75"/>
      <c r="F15" s="73"/>
      <c r="G15" s="73"/>
      <c r="H15" s="76">
        <f t="shared" si="2"/>
        <v>50000</v>
      </c>
      <c r="I15" s="77">
        <f t="shared" si="1"/>
        <v>50000</v>
      </c>
      <c r="J15" s="102"/>
      <c r="K15" s="103"/>
      <c r="L15" s="103"/>
      <c r="M15" s="104"/>
      <c r="N15" s="105"/>
      <c r="P15" s="173"/>
    </row>
    <row r="16" spans="1:16" s="82" customFormat="1" ht="18" customHeight="1">
      <c r="A16" s="154" t="s">
        <v>48</v>
      </c>
      <c r="B16" s="251">
        <v>6.5</v>
      </c>
      <c r="C16" s="73">
        <v>24</v>
      </c>
      <c r="D16" s="74">
        <v>37</v>
      </c>
      <c r="E16" s="93"/>
      <c r="F16" s="12"/>
      <c r="G16" s="12"/>
      <c r="H16" s="76">
        <f t="shared" si="2"/>
        <v>50000</v>
      </c>
      <c r="I16" s="77">
        <f t="shared" si="1"/>
        <v>50000</v>
      </c>
      <c r="P16" s="173"/>
    </row>
    <row r="17" spans="1:18" s="82" customFormat="1" ht="18" customHeight="1">
      <c r="A17" s="154" t="s">
        <v>14</v>
      </c>
      <c r="B17" s="251">
        <v>11.7</v>
      </c>
      <c r="C17" s="73">
        <v>24</v>
      </c>
      <c r="D17" s="93">
        <v>37</v>
      </c>
      <c r="E17" s="12"/>
      <c r="F17" s="12"/>
      <c r="G17" s="12"/>
      <c r="H17" s="76">
        <f t="shared" si="2"/>
        <v>50000</v>
      </c>
      <c r="I17" s="77">
        <f t="shared" si="1"/>
        <v>50000</v>
      </c>
      <c r="O17" s="87"/>
      <c r="P17" s="173"/>
      <c r="Q17" s="87"/>
      <c r="R17" s="88"/>
    </row>
    <row r="18" spans="1:16" s="82" customFormat="1" ht="18" customHeight="1">
      <c r="A18" s="154" t="s">
        <v>34</v>
      </c>
      <c r="B18" s="251">
        <v>13.7</v>
      </c>
      <c r="C18" s="12">
        <v>24</v>
      </c>
      <c r="D18" s="93">
        <v>34</v>
      </c>
      <c r="E18" s="75"/>
      <c r="F18" s="73"/>
      <c r="G18" s="73"/>
      <c r="H18" s="76">
        <f t="shared" si="2"/>
        <v>50000</v>
      </c>
      <c r="I18" s="77">
        <f t="shared" si="1"/>
        <v>50000</v>
      </c>
      <c r="J18" s="88"/>
      <c r="K18" s="88"/>
      <c r="L18" s="88"/>
      <c r="M18" s="88"/>
      <c r="P18" s="173"/>
    </row>
    <row r="19" spans="1:16" s="82" customFormat="1" ht="18" customHeight="1">
      <c r="A19" s="154" t="s">
        <v>28</v>
      </c>
      <c r="B19" s="251">
        <v>12.5</v>
      </c>
      <c r="C19" s="93">
        <v>23</v>
      </c>
      <c r="D19" s="74">
        <v>33</v>
      </c>
      <c r="E19" s="75"/>
      <c r="F19" s="73"/>
      <c r="G19" s="73"/>
      <c r="H19" s="76">
        <f t="shared" si="2"/>
        <v>50000</v>
      </c>
      <c r="I19" s="77">
        <f t="shared" si="1"/>
        <v>50000</v>
      </c>
      <c r="J19" s="88"/>
      <c r="K19" s="88"/>
      <c r="L19" s="88"/>
      <c r="M19" s="88"/>
      <c r="P19" s="173"/>
    </row>
    <row r="20" spans="1:16" s="57" customFormat="1" ht="18" customHeight="1">
      <c r="A20" s="154" t="s">
        <v>26</v>
      </c>
      <c r="B20" s="251">
        <v>23.5</v>
      </c>
      <c r="C20" s="73">
        <v>21</v>
      </c>
      <c r="D20" s="93">
        <v>44</v>
      </c>
      <c r="E20" s="75"/>
      <c r="F20" s="12"/>
      <c r="G20" s="12"/>
      <c r="H20" s="76">
        <f t="shared" si="2"/>
        <v>50000</v>
      </c>
      <c r="I20" s="77">
        <f t="shared" si="1"/>
        <v>50000</v>
      </c>
      <c r="P20" s="173"/>
    </row>
    <row r="21" spans="1:16" s="57" customFormat="1" ht="18" customHeight="1">
      <c r="A21" s="154"/>
      <c r="B21" s="251"/>
      <c r="C21" s="73"/>
      <c r="D21" s="93"/>
      <c r="E21" s="75"/>
      <c r="F21" s="12"/>
      <c r="G21" s="12"/>
      <c r="H21" s="76">
        <f t="shared" si="2"/>
        <v>0</v>
      </c>
      <c r="I21" s="77">
        <f t="shared" si="1"/>
        <v>0</v>
      </c>
      <c r="P21" s="173"/>
    </row>
    <row r="22" spans="1:16" s="57" customFormat="1" ht="18" customHeight="1">
      <c r="A22" s="154"/>
      <c r="B22" s="251"/>
      <c r="C22" s="73"/>
      <c r="D22" s="93"/>
      <c r="E22" s="12"/>
      <c r="F22" s="12"/>
      <c r="G22" s="12"/>
      <c r="H22" s="76">
        <f t="shared" si="2"/>
        <v>0</v>
      </c>
      <c r="I22" s="77">
        <f t="shared" si="1"/>
        <v>0</v>
      </c>
      <c r="P22" s="173"/>
    </row>
    <row r="23" spans="1:16" s="57" customFormat="1" ht="18" customHeight="1">
      <c r="A23" s="154"/>
      <c r="B23" s="251"/>
      <c r="C23" s="74"/>
      <c r="D23" s="93"/>
      <c r="E23" s="12"/>
      <c r="F23" s="12"/>
      <c r="G23" s="12"/>
      <c r="H23" s="76">
        <f t="shared" si="2"/>
        <v>0</v>
      </c>
      <c r="I23" s="77">
        <f t="shared" si="1"/>
        <v>0</v>
      </c>
      <c r="P23" s="173"/>
    </row>
    <row r="24" spans="1:16" s="57" customFormat="1" ht="18" customHeight="1">
      <c r="A24" s="154"/>
      <c r="B24" s="251"/>
      <c r="C24" s="73"/>
      <c r="D24" s="74"/>
      <c r="E24" s="12"/>
      <c r="F24" s="12"/>
      <c r="G24" s="12"/>
      <c r="H24" s="76">
        <f t="shared" si="2"/>
        <v>0</v>
      </c>
      <c r="I24" s="77">
        <f t="shared" si="1"/>
        <v>0</v>
      </c>
      <c r="P24" s="173"/>
    </row>
    <row r="25" spans="1:16" s="57" customFormat="1" ht="18" customHeight="1">
      <c r="A25" s="154"/>
      <c r="B25" s="251"/>
      <c r="C25" s="73"/>
      <c r="D25" s="74"/>
      <c r="E25" s="12"/>
      <c r="F25" s="12"/>
      <c r="G25" s="12"/>
      <c r="H25" s="76">
        <f t="shared" si="2"/>
        <v>0</v>
      </c>
      <c r="I25" s="77">
        <f t="shared" si="1"/>
        <v>0</v>
      </c>
      <c r="P25" s="173"/>
    </row>
    <row r="26" spans="1:16" s="57" customFormat="1" ht="18" customHeight="1">
      <c r="A26" s="154"/>
      <c r="B26" s="251"/>
      <c r="C26" s="74"/>
      <c r="D26" s="74"/>
      <c r="E26" s="12"/>
      <c r="F26" s="73"/>
      <c r="G26" s="73"/>
      <c r="H26" s="76">
        <f t="shared" si="2"/>
        <v>0</v>
      </c>
      <c r="I26" s="77">
        <f t="shared" si="1"/>
        <v>0</v>
      </c>
      <c r="P26" s="173"/>
    </row>
    <row r="27" spans="1:16" s="57" customFormat="1" ht="18" customHeight="1">
      <c r="A27" s="154"/>
      <c r="B27" s="251"/>
      <c r="C27" s="74"/>
      <c r="D27" s="185"/>
      <c r="E27" s="75"/>
      <c r="F27" s="73"/>
      <c r="G27" s="73"/>
      <c r="H27" s="76">
        <f t="shared" si="2"/>
        <v>0</v>
      </c>
      <c r="I27" s="77">
        <f t="shared" si="1"/>
        <v>0</v>
      </c>
      <c r="P27" s="173"/>
    </row>
    <row r="28" spans="3:9" ht="24" customHeight="1" thickBot="1">
      <c r="C28" s="107"/>
      <c r="D28" s="186">
        <f>SUM(D4:D27)</f>
        <v>600</v>
      </c>
      <c r="E28" s="107"/>
      <c r="F28" s="3"/>
      <c r="G28" s="109">
        <f>SUM(G4:G27)</f>
        <v>39</v>
      </c>
      <c r="H28" s="109">
        <f>SUM(H4:H27)</f>
        <v>7410000</v>
      </c>
      <c r="I28" s="110"/>
    </row>
    <row r="29" ht="18.75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ignoredErrors>
    <ignoredError sqref="H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0"/>
  <sheetViews>
    <sheetView zoomScale="140" zoomScaleNormal="140" zoomScalePageLayoutView="0" workbookViewId="0" topLeftCell="A1">
      <selection activeCell="T6" sqref="T6"/>
    </sheetView>
  </sheetViews>
  <sheetFormatPr defaultColWidth="9.140625" defaultRowHeight="12.75"/>
  <cols>
    <col min="1" max="1" width="1.28515625" style="15" customWidth="1"/>
    <col min="2" max="2" width="25.140625" style="15" customWidth="1"/>
    <col min="3" max="3" width="10.28125" style="26" customWidth="1"/>
    <col min="4" max="38" width="3.8515625" style="26" customWidth="1"/>
    <col min="39" max="39" width="4.8515625" style="27" customWidth="1"/>
    <col min="40" max="40" width="5.421875" style="27" customWidth="1"/>
    <col min="41" max="41" width="4.421875" style="28" customWidth="1"/>
    <col min="42" max="16384" width="9.140625" style="15" customWidth="1"/>
  </cols>
  <sheetData>
    <row r="1" spans="3:41" ht="24.75" customHeight="1">
      <c r="C1" s="18" t="s">
        <v>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9"/>
      <c r="AN1" s="29"/>
      <c r="AO1" s="30"/>
    </row>
    <row r="2" spans="2:41" s="20" customFormat="1" ht="66.75" customHeight="1">
      <c r="B2" s="21"/>
      <c r="C2" s="31" t="s">
        <v>55</v>
      </c>
      <c r="D2" s="188">
        <v>42651</v>
      </c>
      <c r="E2" s="188">
        <v>42649</v>
      </c>
      <c r="F2" s="188">
        <v>42642</v>
      </c>
      <c r="G2" s="188">
        <v>42635</v>
      </c>
      <c r="H2" s="188">
        <v>42628</v>
      </c>
      <c r="I2" s="188">
        <v>42621</v>
      </c>
      <c r="J2" s="188">
        <v>42614</v>
      </c>
      <c r="K2" s="188" t="s">
        <v>196</v>
      </c>
      <c r="L2" s="188" t="s">
        <v>197</v>
      </c>
      <c r="M2" s="188">
        <v>42607</v>
      </c>
      <c r="N2" s="188">
        <v>42600</v>
      </c>
      <c r="O2" s="188">
        <v>42593</v>
      </c>
      <c r="P2" s="188">
        <v>42586</v>
      </c>
      <c r="Q2" s="188">
        <v>42579</v>
      </c>
      <c r="R2" s="188">
        <v>42572</v>
      </c>
      <c r="S2" s="188">
        <v>42565</v>
      </c>
      <c r="T2" s="188">
        <v>42558</v>
      </c>
      <c r="U2" s="188">
        <v>42551</v>
      </c>
      <c r="V2" s="188">
        <v>42544</v>
      </c>
      <c r="W2" s="188">
        <v>42537</v>
      </c>
      <c r="X2" s="188">
        <v>42530</v>
      </c>
      <c r="Y2" s="188">
        <v>42523</v>
      </c>
      <c r="Z2" s="188" t="s">
        <v>198</v>
      </c>
      <c r="AA2" s="188" t="s">
        <v>199</v>
      </c>
      <c r="AB2" s="188">
        <v>42516</v>
      </c>
      <c r="AC2" s="188">
        <v>42509</v>
      </c>
      <c r="AD2" s="188">
        <v>42502</v>
      </c>
      <c r="AE2" s="188">
        <v>42495</v>
      </c>
      <c r="AF2" s="188">
        <v>42488</v>
      </c>
      <c r="AG2" s="188">
        <v>42481</v>
      </c>
      <c r="AH2" s="188">
        <v>42474</v>
      </c>
      <c r="AI2" s="188">
        <v>42467</v>
      </c>
      <c r="AJ2" s="188">
        <v>42460</v>
      </c>
      <c r="AK2" s="188">
        <v>42453</v>
      </c>
      <c r="AL2" s="188">
        <v>42446</v>
      </c>
      <c r="AM2" s="202" t="s">
        <v>59</v>
      </c>
      <c r="AN2" s="202" t="s">
        <v>60</v>
      </c>
      <c r="AO2" s="32" t="s">
        <v>61</v>
      </c>
    </row>
    <row r="3" spans="2:43" ht="15.75">
      <c r="B3" s="137" t="s">
        <v>31</v>
      </c>
      <c r="C3" s="138">
        <f aca="true" t="shared" si="0" ref="C3:C26">SUM(D3:AL3)</f>
        <v>126</v>
      </c>
      <c r="D3" s="131"/>
      <c r="E3" s="131">
        <v>10</v>
      </c>
      <c r="F3" s="325" t="s">
        <v>292</v>
      </c>
      <c r="G3" s="131"/>
      <c r="H3" s="131"/>
      <c r="I3" s="131">
        <v>10</v>
      </c>
      <c r="J3" s="131"/>
      <c r="K3" s="132">
        <v>6</v>
      </c>
      <c r="L3" s="131">
        <v>10</v>
      </c>
      <c r="M3" s="325" t="s">
        <v>292</v>
      </c>
      <c r="N3" s="242">
        <v>10</v>
      </c>
      <c r="O3" s="131"/>
      <c r="P3" s="325" t="s">
        <v>292</v>
      </c>
      <c r="Q3" s="325" t="s">
        <v>305</v>
      </c>
      <c r="R3" s="131">
        <v>6</v>
      </c>
      <c r="S3" s="131">
        <v>4</v>
      </c>
      <c r="T3" s="131"/>
      <c r="U3" s="131"/>
      <c r="V3" s="131">
        <v>8</v>
      </c>
      <c r="W3" s="242">
        <v>10</v>
      </c>
      <c r="X3" s="131">
        <v>4</v>
      </c>
      <c r="Y3" s="131">
        <v>6</v>
      </c>
      <c r="Z3" s="131"/>
      <c r="AA3" s="131"/>
      <c r="AB3" s="242"/>
      <c r="AC3" s="131">
        <v>5</v>
      </c>
      <c r="AD3" s="242">
        <v>6</v>
      </c>
      <c r="AE3" s="131"/>
      <c r="AF3" s="131">
        <v>8</v>
      </c>
      <c r="AG3" s="325" t="s">
        <v>339</v>
      </c>
      <c r="AH3" s="242">
        <v>5</v>
      </c>
      <c r="AI3" s="131">
        <v>5</v>
      </c>
      <c r="AJ3" s="132">
        <v>8</v>
      </c>
      <c r="AK3" s="131">
        <v>5</v>
      </c>
      <c r="AL3" s="325"/>
      <c r="AM3" s="133">
        <f aca="true" t="shared" si="1" ref="AM3:AM26">COUNTIF(D3:AL3,"&gt;0")</f>
        <v>18</v>
      </c>
      <c r="AN3" s="133">
        <f aca="true" t="shared" si="2" ref="AN3:AN26">SMALL(D3:AL3,1)</f>
        <v>4</v>
      </c>
      <c r="AO3" s="134">
        <f aca="true" t="shared" si="3" ref="AO3:AO26">COUNTIF(D3:AL3,"=10")</f>
        <v>5</v>
      </c>
      <c r="AQ3" s="38" t="str">
        <f aca="true" t="shared" si="4" ref="AQ3:AQ26">IF(AM3&gt;18,"OBS"," ")</f>
        <v> </v>
      </c>
    </row>
    <row r="4" spans="1:43" s="24" customFormat="1" ht="15.75">
      <c r="A4" s="15"/>
      <c r="B4" s="139" t="s">
        <v>11</v>
      </c>
      <c r="C4" s="140">
        <f t="shared" si="0"/>
        <v>118</v>
      </c>
      <c r="D4" s="242"/>
      <c r="E4" s="242"/>
      <c r="F4" s="131">
        <v>5</v>
      </c>
      <c r="G4" s="131">
        <v>8</v>
      </c>
      <c r="H4" s="131"/>
      <c r="I4" s="131">
        <v>8</v>
      </c>
      <c r="J4" s="131">
        <v>8</v>
      </c>
      <c r="K4" s="132"/>
      <c r="L4" s="131"/>
      <c r="M4" s="131">
        <v>8</v>
      </c>
      <c r="N4" s="131"/>
      <c r="O4" s="131">
        <v>8</v>
      </c>
      <c r="P4" s="131">
        <v>10</v>
      </c>
      <c r="Q4" s="131">
        <v>6</v>
      </c>
      <c r="R4" s="131"/>
      <c r="S4" s="131"/>
      <c r="T4" s="131"/>
      <c r="U4" s="131"/>
      <c r="V4" s="131"/>
      <c r="W4" s="131">
        <v>4</v>
      </c>
      <c r="X4" s="131">
        <v>10</v>
      </c>
      <c r="Y4" s="131">
        <v>5</v>
      </c>
      <c r="Z4" s="131">
        <v>4</v>
      </c>
      <c r="AA4" s="131">
        <v>8</v>
      </c>
      <c r="AB4" s="131">
        <v>4</v>
      </c>
      <c r="AC4" s="131">
        <v>4</v>
      </c>
      <c r="AD4" s="131"/>
      <c r="AE4" s="131"/>
      <c r="AF4" s="131">
        <v>5</v>
      </c>
      <c r="AG4" s="131">
        <v>5</v>
      </c>
      <c r="AH4" s="131"/>
      <c r="AI4" s="131">
        <v>8</v>
      </c>
      <c r="AJ4" s="132"/>
      <c r="AK4" s="131"/>
      <c r="AL4" s="325" t="s">
        <v>339</v>
      </c>
      <c r="AM4" s="133">
        <f t="shared" si="1"/>
        <v>18</v>
      </c>
      <c r="AN4" s="133">
        <f t="shared" si="2"/>
        <v>4</v>
      </c>
      <c r="AO4" s="134">
        <f t="shared" si="3"/>
        <v>2</v>
      </c>
      <c r="AP4" s="15"/>
      <c r="AQ4" s="38" t="str">
        <f t="shared" si="4"/>
        <v> </v>
      </c>
    </row>
    <row r="5" spans="2:43" ht="15.75">
      <c r="B5" s="141" t="s">
        <v>33</v>
      </c>
      <c r="C5" s="142">
        <f t="shared" si="0"/>
        <v>115</v>
      </c>
      <c r="D5" s="242"/>
      <c r="E5" s="242">
        <v>4</v>
      </c>
      <c r="F5" s="131">
        <v>10</v>
      </c>
      <c r="G5" s="242">
        <v>4</v>
      </c>
      <c r="H5" s="325" t="s">
        <v>305</v>
      </c>
      <c r="I5" s="131"/>
      <c r="J5" s="131">
        <v>3</v>
      </c>
      <c r="K5" s="132">
        <v>3</v>
      </c>
      <c r="L5" s="131">
        <v>10</v>
      </c>
      <c r="M5" s="131"/>
      <c r="N5" s="131">
        <v>6</v>
      </c>
      <c r="O5" s="131"/>
      <c r="P5" s="131">
        <v>5</v>
      </c>
      <c r="Q5" s="131"/>
      <c r="R5" s="131">
        <v>4</v>
      </c>
      <c r="S5" s="131">
        <v>10</v>
      </c>
      <c r="T5" s="325" t="s">
        <v>339</v>
      </c>
      <c r="U5" s="131">
        <v>6</v>
      </c>
      <c r="V5" s="131"/>
      <c r="W5" s="131">
        <v>6</v>
      </c>
      <c r="X5" s="131">
        <v>8</v>
      </c>
      <c r="Y5" s="131">
        <v>10</v>
      </c>
      <c r="Z5" s="131">
        <v>6</v>
      </c>
      <c r="AA5" s="131">
        <v>6</v>
      </c>
      <c r="AB5" s="131"/>
      <c r="AC5" s="131"/>
      <c r="AD5" s="131"/>
      <c r="AE5" s="131"/>
      <c r="AF5" s="131"/>
      <c r="AG5" s="131"/>
      <c r="AH5" s="131"/>
      <c r="AI5" s="131">
        <v>10</v>
      </c>
      <c r="AJ5" s="132">
        <v>4</v>
      </c>
      <c r="AK5" s="131"/>
      <c r="AL5" s="131"/>
      <c r="AM5" s="133">
        <f t="shared" si="1"/>
        <v>18</v>
      </c>
      <c r="AN5" s="133">
        <f t="shared" si="2"/>
        <v>3</v>
      </c>
      <c r="AO5" s="134">
        <f t="shared" si="3"/>
        <v>5</v>
      </c>
      <c r="AQ5" s="38" t="str">
        <f t="shared" si="4"/>
        <v> </v>
      </c>
    </row>
    <row r="6" spans="2:43" ht="15.75">
      <c r="B6" s="130" t="s">
        <v>13</v>
      </c>
      <c r="C6" s="135">
        <f t="shared" si="0"/>
        <v>95</v>
      </c>
      <c r="D6" s="131"/>
      <c r="E6" s="131">
        <v>8</v>
      </c>
      <c r="F6" s="131"/>
      <c r="G6" s="131">
        <v>6</v>
      </c>
      <c r="H6" s="131"/>
      <c r="I6" s="131"/>
      <c r="J6" s="131">
        <v>6</v>
      </c>
      <c r="K6" s="132"/>
      <c r="L6" s="131"/>
      <c r="M6" s="131"/>
      <c r="N6" s="131"/>
      <c r="O6" s="131"/>
      <c r="P6" s="131"/>
      <c r="Q6" s="131"/>
      <c r="R6" s="131"/>
      <c r="S6" s="131">
        <v>8</v>
      </c>
      <c r="T6" s="131"/>
      <c r="U6" s="131">
        <v>4</v>
      </c>
      <c r="V6" s="131"/>
      <c r="W6" s="131">
        <v>8</v>
      </c>
      <c r="X6" s="131">
        <v>3</v>
      </c>
      <c r="Y6" s="131">
        <v>2</v>
      </c>
      <c r="Z6" s="131">
        <v>5</v>
      </c>
      <c r="AA6" s="131">
        <v>4</v>
      </c>
      <c r="AB6" s="131">
        <v>6</v>
      </c>
      <c r="AC6" s="131"/>
      <c r="AD6" s="131"/>
      <c r="AE6" s="131">
        <v>8</v>
      </c>
      <c r="AF6" s="131">
        <v>2</v>
      </c>
      <c r="AG6" s="131"/>
      <c r="AH6" s="131">
        <v>10</v>
      </c>
      <c r="AI6" s="131"/>
      <c r="AJ6" s="132">
        <v>10</v>
      </c>
      <c r="AK6" s="131"/>
      <c r="AL6" s="131">
        <v>5</v>
      </c>
      <c r="AM6" s="133">
        <f t="shared" si="1"/>
        <v>16</v>
      </c>
      <c r="AN6" s="133">
        <f t="shared" si="2"/>
        <v>2</v>
      </c>
      <c r="AO6" s="134">
        <f t="shared" si="3"/>
        <v>2</v>
      </c>
      <c r="AQ6" s="38" t="str">
        <f t="shared" si="4"/>
        <v> </v>
      </c>
    </row>
    <row r="7" spans="2:43" ht="15.75">
      <c r="B7" s="13" t="s">
        <v>49</v>
      </c>
      <c r="C7" s="136">
        <f t="shared" si="0"/>
        <v>84</v>
      </c>
      <c r="D7" s="131"/>
      <c r="E7" s="242">
        <v>6</v>
      </c>
      <c r="F7" s="131">
        <v>6</v>
      </c>
      <c r="G7" s="131">
        <v>1</v>
      </c>
      <c r="H7" s="242">
        <v>1</v>
      </c>
      <c r="I7" s="131">
        <v>4</v>
      </c>
      <c r="J7" s="131"/>
      <c r="K7" s="132"/>
      <c r="L7" s="242"/>
      <c r="M7" s="131"/>
      <c r="N7" s="131"/>
      <c r="O7" s="131"/>
      <c r="P7" s="131"/>
      <c r="Q7" s="131"/>
      <c r="R7" s="131"/>
      <c r="S7" s="131"/>
      <c r="T7" s="131">
        <v>6</v>
      </c>
      <c r="U7" s="131"/>
      <c r="V7" s="131"/>
      <c r="W7" s="242">
        <v>1</v>
      </c>
      <c r="X7" s="131">
        <v>6</v>
      </c>
      <c r="Y7" s="131"/>
      <c r="Z7" s="242">
        <v>10</v>
      </c>
      <c r="AA7" s="131"/>
      <c r="AB7" s="131">
        <v>8</v>
      </c>
      <c r="AC7" s="131">
        <v>10</v>
      </c>
      <c r="AD7" s="131"/>
      <c r="AE7" s="131">
        <v>2</v>
      </c>
      <c r="AF7" s="131">
        <v>1</v>
      </c>
      <c r="AG7" s="131">
        <v>8</v>
      </c>
      <c r="AH7" s="131">
        <v>8</v>
      </c>
      <c r="AI7" s="131">
        <v>6</v>
      </c>
      <c r="AJ7" s="132"/>
      <c r="AK7" s="131"/>
      <c r="AL7" s="325"/>
      <c r="AM7" s="133">
        <f t="shared" si="1"/>
        <v>16</v>
      </c>
      <c r="AN7" s="133">
        <f t="shared" si="2"/>
        <v>1</v>
      </c>
      <c r="AO7" s="134">
        <f t="shared" si="3"/>
        <v>2</v>
      </c>
      <c r="AQ7" s="38" t="str">
        <f t="shared" si="4"/>
        <v> </v>
      </c>
    </row>
    <row r="8" spans="2:43" ht="15.75">
      <c r="B8" s="13" t="s">
        <v>19</v>
      </c>
      <c r="C8" s="136">
        <f t="shared" si="0"/>
        <v>77</v>
      </c>
      <c r="D8" s="131"/>
      <c r="E8" s="131"/>
      <c r="F8" s="131">
        <v>3</v>
      </c>
      <c r="G8" s="131"/>
      <c r="H8" s="131">
        <v>10</v>
      </c>
      <c r="I8" s="131"/>
      <c r="J8" s="131"/>
      <c r="K8" s="132"/>
      <c r="L8" s="131"/>
      <c r="M8" s="131">
        <v>4</v>
      </c>
      <c r="N8" s="131"/>
      <c r="O8" s="131">
        <v>3</v>
      </c>
      <c r="P8" s="131">
        <v>2</v>
      </c>
      <c r="Q8" s="131"/>
      <c r="R8" s="131">
        <v>8</v>
      </c>
      <c r="S8" s="131">
        <v>5</v>
      </c>
      <c r="T8" s="131">
        <v>5</v>
      </c>
      <c r="U8" s="131">
        <v>6</v>
      </c>
      <c r="V8" s="131">
        <v>5</v>
      </c>
      <c r="W8" s="131">
        <v>2</v>
      </c>
      <c r="X8" s="131"/>
      <c r="Y8" s="131">
        <v>4</v>
      </c>
      <c r="Z8" s="131">
        <v>2</v>
      </c>
      <c r="AA8" s="325" t="s">
        <v>292</v>
      </c>
      <c r="AB8" s="131">
        <v>2</v>
      </c>
      <c r="AC8" s="131"/>
      <c r="AD8" s="131"/>
      <c r="AE8" s="131"/>
      <c r="AF8" s="131"/>
      <c r="AG8" s="325" t="s">
        <v>292</v>
      </c>
      <c r="AH8" s="131"/>
      <c r="AI8" s="131">
        <v>3</v>
      </c>
      <c r="AJ8" s="132">
        <v>3</v>
      </c>
      <c r="AK8" s="131">
        <v>6</v>
      </c>
      <c r="AL8" s="131">
        <v>4</v>
      </c>
      <c r="AM8" s="133">
        <f t="shared" si="1"/>
        <v>18</v>
      </c>
      <c r="AN8" s="133">
        <f t="shared" si="2"/>
        <v>2</v>
      </c>
      <c r="AO8" s="134">
        <f t="shared" si="3"/>
        <v>1</v>
      </c>
      <c r="AQ8" s="38" t="str">
        <f t="shared" si="4"/>
        <v> </v>
      </c>
    </row>
    <row r="9" spans="2:43" ht="15.75">
      <c r="B9" s="13" t="s">
        <v>29</v>
      </c>
      <c r="C9" s="136">
        <f t="shared" si="0"/>
        <v>75</v>
      </c>
      <c r="D9" s="131"/>
      <c r="E9" s="131"/>
      <c r="F9" s="131">
        <v>4</v>
      </c>
      <c r="G9" s="131"/>
      <c r="H9" s="131">
        <v>6</v>
      </c>
      <c r="I9" s="242"/>
      <c r="J9" s="242">
        <v>4</v>
      </c>
      <c r="K9" s="245"/>
      <c r="L9" s="242"/>
      <c r="M9" s="242"/>
      <c r="N9" s="131">
        <v>3</v>
      </c>
      <c r="O9" s="131"/>
      <c r="P9" s="131"/>
      <c r="Q9" s="131"/>
      <c r="R9" s="131">
        <v>10</v>
      </c>
      <c r="S9" s="131"/>
      <c r="T9" s="131"/>
      <c r="U9" s="131"/>
      <c r="V9" s="131">
        <v>6</v>
      </c>
      <c r="W9" s="131"/>
      <c r="X9" s="131"/>
      <c r="Y9" s="242">
        <v>8</v>
      </c>
      <c r="Z9" s="131"/>
      <c r="AA9" s="242"/>
      <c r="AB9" s="242"/>
      <c r="AC9" s="242">
        <v>3</v>
      </c>
      <c r="AD9" s="131">
        <v>1</v>
      </c>
      <c r="AE9" s="242">
        <v>1</v>
      </c>
      <c r="AF9" s="242">
        <v>10</v>
      </c>
      <c r="AG9" s="242"/>
      <c r="AH9" s="131">
        <v>1</v>
      </c>
      <c r="AI9" s="131">
        <v>4</v>
      </c>
      <c r="AJ9" s="132"/>
      <c r="AK9" s="131">
        <v>8</v>
      </c>
      <c r="AL9" s="131">
        <v>6</v>
      </c>
      <c r="AM9" s="133">
        <f t="shared" si="1"/>
        <v>15</v>
      </c>
      <c r="AN9" s="133">
        <f t="shared" si="2"/>
        <v>1</v>
      </c>
      <c r="AO9" s="134">
        <f t="shared" si="3"/>
        <v>2</v>
      </c>
      <c r="AQ9" s="38" t="str">
        <f t="shared" si="4"/>
        <v> </v>
      </c>
    </row>
    <row r="10" spans="2:43" ht="15.75">
      <c r="B10" s="13" t="s">
        <v>37</v>
      </c>
      <c r="C10" s="136">
        <f t="shared" si="0"/>
        <v>65</v>
      </c>
      <c r="D10" s="131"/>
      <c r="E10" s="131"/>
      <c r="F10" s="131"/>
      <c r="G10" s="131">
        <v>10</v>
      </c>
      <c r="H10" s="131"/>
      <c r="I10" s="131"/>
      <c r="J10" s="131">
        <v>5</v>
      </c>
      <c r="K10" s="132">
        <v>4</v>
      </c>
      <c r="L10" s="131">
        <v>5</v>
      </c>
      <c r="M10" s="131"/>
      <c r="N10" s="131"/>
      <c r="O10" s="131">
        <v>1</v>
      </c>
      <c r="P10" s="131"/>
      <c r="Q10" s="131">
        <v>10</v>
      </c>
      <c r="R10" s="131"/>
      <c r="S10" s="131">
        <v>2</v>
      </c>
      <c r="T10" s="131">
        <v>8</v>
      </c>
      <c r="U10" s="131"/>
      <c r="V10" s="131">
        <v>10</v>
      </c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2"/>
      <c r="AK10" s="131">
        <v>10</v>
      </c>
      <c r="AL10" s="131"/>
      <c r="AM10" s="133">
        <f t="shared" si="1"/>
        <v>10</v>
      </c>
      <c r="AN10" s="133">
        <f t="shared" si="2"/>
        <v>1</v>
      </c>
      <c r="AO10" s="134">
        <f t="shared" si="3"/>
        <v>4</v>
      </c>
      <c r="AQ10" s="38" t="str">
        <f t="shared" si="4"/>
        <v> </v>
      </c>
    </row>
    <row r="11" spans="1:43" ht="15.75">
      <c r="A11" s="24"/>
      <c r="B11" s="13" t="s">
        <v>172</v>
      </c>
      <c r="C11" s="136">
        <f t="shared" si="0"/>
        <v>61</v>
      </c>
      <c r="D11" s="131"/>
      <c r="E11" s="131"/>
      <c r="F11" s="131"/>
      <c r="G11" s="131">
        <v>3</v>
      </c>
      <c r="H11" s="131">
        <v>5</v>
      </c>
      <c r="I11" s="131">
        <v>5</v>
      </c>
      <c r="J11" s="131"/>
      <c r="K11" s="132"/>
      <c r="L11" s="131"/>
      <c r="M11" s="131"/>
      <c r="N11" s="131">
        <v>2</v>
      </c>
      <c r="O11" s="131"/>
      <c r="P11" s="131">
        <v>4</v>
      </c>
      <c r="Q11" s="131"/>
      <c r="R11" s="131"/>
      <c r="S11" s="131"/>
      <c r="T11" s="131"/>
      <c r="U11" s="131"/>
      <c r="V11" s="131"/>
      <c r="W11" s="131"/>
      <c r="X11" s="131"/>
      <c r="Y11" s="131"/>
      <c r="Z11" s="131">
        <v>3</v>
      </c>
      <c r="AA11" s="131">
        <v>10</v>
      </c>
      <c r="AB11" s="131">
        <v>5</v>
      </c>
      <c r="AC11" s="131"/>
      <c r="AD11" s="131"/>
      <c r="AE11" s="131"/>
      <c r="AF11" s="131">
        <v>6</v>
      </c>
      <c r="AG11" s="131"/>
      <c r="AH11" s="131"/>
      <c r="AI11" s="131"/>
      <c r="AJ11" s="132">
        <v>6</v>
      </c>
      <c r="AK11" s="131">
        <v>4</v>
      </c>
      <c r="AL11" s="131">
        <v>8</v>
      </c>
      <c r="AM11" s="133">
        <f t="shared" si="1"/>
        <v>12</v>
      </c>
      <c r="AN11" s="133">
        <f t="shared" si="2"/>
        <v>2</v>
      </c>
      <c r="AO11" s="134">
        <f t="shared" si="3"/>
        <v>1</v>
      </c>
      <c r="AP11" s="24"/>
      <c r="AQ11" s="38" t="str">
        <f t="shared" si="4"/>
        <v> </v>
      </c>
    </row>
    <row r="12" spans="2:43" ht="15.75">
      <c r="B12" s="13" t="s">
        <v>53</v>
      </c>
      <c r="C12" s="136">
        <f t="shared" si="0"/>
        <v>60</v>
      </c>
      <c r="D12" s="131"/>
      <c r="E12" s="131"/>
      <c r="F12" s="131"/>
      <c r="G12" s="131"/>
      <c r="H12" s="131"/>
      <c r="I12" s="131">
        <v>1</v>
      </c>
      <c r="J12" s="131"/>
      <c r="K12" s="132"/>
      <c r="L12" s="131"/>
      <c r="M12" s="131"/>
      <c r="N12" s="131"/>
      <c r="O12" s="131">
        <v>4</v>
      </c>
      <c r="P12" s="131"/>
      <c r="Q12" s="131">
        <v>5</v>
      </c>
      <c r="R12" s="131"/>
      <c r="S12" s="131">
        <v>1</v>
      </c>
      <c r="T12" s="131">
        <v>10</v>
      </c>
      <c r="U12" s="131">
        <v>10</v>
      </c>
      <c r="V12" s="131"/>
      <c r="W12" s="131"/>
      <c r="X12" s="131"/>
      <c r="Y12" s="131"/>
      <c r="Z12" s="131">
        <v>8</v>
      </c>
      <c r="AA12" s="131">
        <v>5</v>
      </c>
      <c r="AB12" s="131"/>
      <c r="AC12" s="131"/>
      <c r="AD12" s="131">
        <v>2</v>
      </c>
      <c r="AE12" s="131">
        <v>10</v>
      </c>
      <c r="AF12" s="131">
        <v>3</v>
      </c>
      <c r="AG12" s="131"/>
      <c r="AH12" s="131"/>
      <c r="AI12" s="131"/>
      <c r="AJ12" s="132">
        <v>1</v>
      </c>
      <c r="AK12" s="131"/>
      <c r="AL12" s="131"/>
      <c r="AM12" s="133">
        <f t="shared" si="1"/>
        <v>12</v>
      </c>
      <c r="AN12" s="133">
        <f t="shared" si="2"/>
        <v>1</v>
      </c>
      <c r="AO12" s="134">
        <f t="shared" si="3"/>
        <v>3</v>
      </c>
      <c r="AQ12" s="38" t="str">
        <f t="shared" si="4"/>
        <v> </v>
      </c>
    </row>
    <row r="13" spans="2:43" ht="15.75">
      <c r="B13" s="13" t="s">
        <v>39</v>
      </c>
      <c r="C13" s="136">
        <f t="shared" si="0"/>
        <v>55</v>
      </c>
      <c r="D13" s="131"/>
      <c r="E13" s="131"/>
      <c r="F13" s="131">
        <v>8</v>
      </c>
      <c r="G13" s="131"/>
      <c r="H13" s="242"/>
      <c r="I13" s="131"/>
      <c r="J13" s="131"/>
      <c r="K13" s="132"/>
      <c r="L13" s="131"/>
      <c r="M13" s="242"/>
      <c r="N13" s="131">
        <v>5</v>
      </c>
      <c r="O13" s="131">
        <v>5</v>
      </c>
      <c r="P13" s="131">
        <v>6</v>
      </c>
      <c r="Q13" s="131"/>
      <c r="R13" s="131"/>
      <c r="S13" s="242"/>
      <c r="T13" s="242">
        <v>4</v>
      </c>
      <c r="U13" s="242">
        <v>10</v>
      </c>
      <c r="V13" s="131">
        <v>4</v>
      </c>
      <c r="W13" s="131">
        <v>3</v>
      </c>
      <c r="X13" s="131"/>
      <c r="Y13" s="131"/>
      <c r="Z13" s="131"/>
      <c r="AA13" s="131"/>
      <c r="AB13" s="131"/>
      <c r="AC13" s="131"/>
      <c r="AD13" s="131">
        <v>5</v>
      </c>
      <c r="AE13" s="242"/>
      <c r="AF13" s="131"/>
      <c r="AG13" s="131"/>
      <c r="AH13" s="131">
        <v>3</v>
      </c>
      <c r="AI13" s="131"/>
      <c r="AJ13" s="245"/>
      <c r="AK13" s="242">
        <v>2</v>
      </c>
      <c r="AL13" s="131"/>
      <c r="AM13" s="133">
        <f t="shared" si="1"/>
        <v>11</v>
      </c>
      <c r="AN13" s="133">
        <f t="shared" si="2"/>
        <v>2</v>
      </c>
      <c r="AO13" s="134">
        <f t="shared" si="3"/>
        <v>1</v>
      </c>
      <c r="AQ13" s="38" t="str">
        <f t="shared" si="4"/>
        <v> </v>
      </c>
    </row>
    <row r="14" spans="1:43" s="25" customFormat="1" ht="15.75">
      <c r="A14" s="15"/>
      <c r="B14" s="13" t="s">
        <v>9</v>
      </c>
      <c r="C14" s="136">
        <f t="shared" si="0"/>
        <v>53</v>
      </c>
      <c r="D14" s="131"/>
      <c r="E14" s="131">
        <v>1</v>
      </c>
      <c r="F14" s="131"/>
      <c r="G14" s="131"/>
      <c r="H14" s="131">
        <v>4</v>
      </c>
      <c r="I14" s="131"/>
      <c r="J14" s="131"/>
      <c r="K14" s="132"/>
      <c r="L14" s="131"/>
      <c r="M14" s="131"/>
      <c r="N14" s="131">
        <v>8</v>
      </c>
      <c r="O14" s="131"/>
      <c r="P14" s="131"/>
      <c r="Q14" s="131">
        <v>4</v>
      </c>
      <c r="R14" s="131">
        <v>5</v>
      </c>
      <c r="S14" s="131"/>
      <c r="T14" s="131"/>
      <c r="U14" s="131"/>
      <c r="V14" s="131">
        <v>2</v>
      </c>
      <c r="W14" s="131"/>
      <c r="X14" s="131">
        <v>1</v>
      </c>
      <c r="Y14" s="131"/>
      <c r="Z14" s="131"/>
      <c r="AA14" s="131"/>
      <c r="AB14" s="131"/>
      <c r="AC14" s="131">
        <v>6</v>
      </c>
      <c r="AD14" s="131">
        <v>10</v>
      </c>
      <c r="AE14" s="131"/>
      <c r="AF14" s="131"/>
      <c r="AG14" s="131">
        <v>10</v>
      </c>
      <c r="AH14" s="131"/>
      <c r="AI14" s="131"/>
      <c r="AJ14" s="132">
        <v>2</v>
      </c>
      <c r="AK14" s="131"/>
      <c r="AL14" s="131"/>
      <c r="AM14" s="133">
        <f t="shared" si="1"/>
        <v>11</v>
      </c>
      <c r="AN14" s="133">
        <f t="shared" si="2"/>
        <v>1</v>
      </c>
      <c r="AO14" s="134">
        <f t="shared" si="3"/>
        <v>2</v>
      </c>
      <c r="AP14" s="15"/>
      <c r="AQ14" s="38" t="str">
        <f t="shared" si="4"/>
        <v> </v>
      </c>
    </row>
    <row r="15" spans="2:43" ht="15.75">
      <c r="B15" s="13" t="s">
        <v>43</v>
      </c>
      <c r="C15" s="136">
        <f t="shared" si="0"/>
        <v>53</v>
      </c>
      <c r="D15" s="131"/>
      <c r="E15" s="131">
        <v>2</v>
      </c>
      <c r="F15" s="131"/>
      <c r="G15" s="131">
        <v>5</v>
      </c>
      <c r="H15" s="131"/>
      <c r="I15" s="131">
        <v>2</v>
      </c>
      <c r="J15" s="131">
        <v>1</v>
      </c>
      <c r="K15" s="132">
        <v>8</v>
      </c>
      <c r="L15" s="131">
        <v>10</v>
      </c>
      <c r="M15" s="131">
        <v>2</v>
      </c>
      <c r="N15" s="131">
        <v>4</v>
      </c>
      <c r="O15" s="131"/>
      <c r="P15" s="131"/>
      <c r="Q15" s="131"/>
      <c r="R15" s="131"/>
      <c r="S15" s="131">
        <v>3</v>
      </c>
      <c r="T15" s="131"/>
      <c r="U15" s="242"/>
      <c r="V15" s="131">
        <v>3</v>
      </c>
      <c r="W15" s="131"/>
      <c r="X15" s="131"/>
      <c r="Y15" s="131"/>
      <c r="Z15" s="131">
        <v>1</v>
      </c>
      <c r="AA15" s="131"/>
      <c r="AB15" s="131"/>
      <c r="AC15" s="131"/>
      <c r="AD15" s="131"/>
      <c r="AE15" s="131">
        <v>3</v>
      </c>
      <c r="AF15" s="131"/>
      <c r="AG15" s="131"/>
      <c r="AH15" s="131"/>
      <c r="AI15" s="131"/>
      <c r="AJ15" s="245">
        <v>5</v>
      </c>
      <c r="AK15" s="131">
        <v>3</v>
      </c>
      <c r="AL15" s="131">
        <v>1</v>
      </c>
      <c r="AM15" s="133">
        <f t="shared" si="1"/>
        <v>15</v>
      </c>
      <c r="AN15" s="133">
        <f t="shared" si="2"/>
        <v>1</v>
      </c>
      <c r="AO15" s="134">
        <f t="shared" si="3"/>
        <v>1</v>
      </c>
      <c r="AQ15" s="38" t="str">
        <f t="shared" si="4"/>
        <v> </v>
      </c>
    </row>
    <row r="16" spans="2:43" s="25" customFormat="1" ht="15.75">
      <c r="B16" s="13" t="s">
        <v>35</v>
      </c>
      <c r="C16" s="136">
        <f t="shared" si="0"/>
        <v>48</v>
      </c>
      <c r="D16" s="131"/>
      <c r="E16" s="131"/>
      <c r="F16" s="131"/>
      <c r="G16" s="131"/>
      <c r="H16" s="131"/>
      <c r="I16" s="131">
        <v>6</v>
      </c>
      <c r="J16" s="131">
        <v>10</v>
      </c>
      <c r="K16" s="132"/>
      <c r="L16" s="131">
        <v>5</v>
      </c>
      <c r="M16" s="131">
        <v>3</v>
      </c>
      <c r="N16" s="131">
        <v>1</v>
      </c>
      <c r="O16" s="131">
        <v>2</v>
      </c>
      <c r="P16" s="131"/>
      <c r="Q16" s="131"/>
      <c r="R16" s="131">
        <v>2</v>
      </c>
      <c r="S16" s="131">
        <v>6</v>
      </c>
      <c r="T16" s="131"/>
      <c r="U16" s="131"/>
      <c r="V16" s="131"/>
      <c r="W16" s="131"/>
      <c r="X16" s="131">
        <v>5</v>
      </c>
      <c r="Y16" s="131"/>
      <c r="Z16" s="131"/>
      <c r="AA16" s="131"/>
      <c r="AB16" s="131"/>
      <c r="AC16" s="131">
        <v>2</v>
      </c>
      <c r="AD16" s="131"/>
      <c r="AE16" s="131"/>
      <c r="AF16" s="131">
        <v>4</v>
      </c>
      <c r="AG16" s="131">
        <v>2</v>
      </c>
      <c r="AH16" s="242"/>
      <c r="AI16" s="131"/>
      <c r="AJ16" s="132"/>
      <c r="AK16" s="131"/>
      <c r="AL16" s="131"/>
      <c r="AM16" s="133">
        <f t="shared" si="1"/>
        <v>12</v>
      </c>
      <c r="AN16" s="133">
        <f t="shared" si="2"/>
        <v>1</v>
      </c>
      <c r="AO16" s="134">
        <f t="shared" si="3"/>
        <v>1</v>
      </c>
      <c r="AP16" s="15"/>
      <c r="AQ16" s="38" t="str">
        <f t="shared" si="4"/>
        <v> </v>
      </c>
    </row>
    <row r="17" spans="2:43" ht="15.75">
      <c r="B17" s="13" t="s">
        <v>15</v>
      </c>
      <c r="C17" s="136">
        <f t="shared" si="0"/>
        <v>48</v>
      </c>
      <c r="D17" s="131"/>
      <c r="E17" s="131">
        <v>5</v>
      </c>
      <c r="F17" s="131"/>
      <c r="G17" s="131"/>
      <c r="H17" s="131"/>
      <c r="I17" s="131">
        <v>3</v>
      </c>
      <c r="J17" s="131"/>
      <c r="K17" s="132">
        <v>5</v>
      </c>
      <c r="L17" s="131">
        <v>5</v>
      </c>
      <c r="M17" s="131">
        <v>5</v>
      </c>
      <c r="N17" s="131"/>
      <c r="O17" s="131">
        <v>10</v>
      </c>
      <c r="P17" s="131">
        <v>8</v>
      </c>
      <c r="Q17" s="131"/>
      <c r="R17" s="131"/>
      <c r="S17" s="131"/>
      <c r="T17" s="131"/>
      <c r="U17" s="131">
        <v>4</v>
      </c>
      <c r="V17" s="131"/>
      <c r="W17" s="131"/>
      <c r="X17" s="131"/>
      <c r="Y17" s="131"/>
      <c r="Z17" s="131"/>
      <c r="AA17" s="131">
        <v>3</v>
      </c>
      <c r="AB17" s="131"/>
      <c r="AC17" s="131"/>
      <c r="AD17" s="131"/>
      <c r="AE17" s="131"/>
      <c r="AF17" s="131"/>
      <c r="AG17" s="131"/>
      <c r="AH17" s="131"/>
      <c r="AI17" s="131"/>
      <c r="AJ17" s="132"/>
      <c r="AK17" s="131"/>
      <c r="AL17" s="131"/>
      <c r="AM17" s="133">
        <f t="shared" si="1"/>
        <v>9</v>
      </c>
      <c r="AN17" s="133">
        <f t="shared" si="2"/>
        <v>3</v>
      </c>
      <c r="AO17" s="134">
        <f t="shared" si="3"/>
        <v>1</v>
      </c>
      <c r="AQ17" s="38" t="str">
        <f t="shared" si="4"/>
        <v> </v>
      </c>
    </row>
    <row r="18" spans="2:43" ht="15.75">
      <c r="B18" s="13" t="s">
        <v>47</v>
      </c>
      <c r="C18" s="136">
        <f t="shared" si="0"/>
        <v>43</v>
      </c>
      <c r="D18" s="131"/>
      <c r="E18" s="131"/>
      <c r="F18" s="131"/>
      <c r="G18" s="131"/>
      <c r="H18" s="131"/>
      <c r="I18" s="131"/>
      <c r="J18" s="131"/>
      <c r="K18" s="132">
        <v>10</v>
      </c>
      <c r="L18" s="131">
        <v>10</v>
      </c>
      <c r="M18" s="131"/>
      <c r="N18" s="131"/>
      <c r="O18" s="131">
        <v>6</v>
      </c>
      <c r="P18" s="131"/>
      <c r="Q18" s="131"/>
      <c r="R18" s="131">
        <v>1</v>
      </c>
      <c r="S18" s="131"/>
      <c r="T18" s="131"/>
      <c r="U18" s="131"/>
      <c r="V18" s="131"/>
      <c r="W18" s="131">
        <v>5</v>
      </c>
      <c r="X18" s="131"/>
      <c r="Y18" s="131">
        <v>3</v>
      </c>
      <c r="Z18" s="131"/>
      <c r="AA18" s="131"/>
      <c r="AB18" s="131"/>
      <c r="AC18" s="131"/>
      <c r="AD18" s="131"/>
      <c r="AE18" s="131"/>
      <c r="AF18" s="131"/>
      <c r="AG18" s="131">
        <v>6</v>
      </c>
      <c r="AH18" s="131"/>
      <c r="AI18" s="131"/>
      <c r="AJ18" s="132"/>
      <c r="AK18" s="131"/>
      <c r="AL18" s="131">
        <v>2</v>
      </c>
      <c r="AM18" s="133">
        <f t="shared" si="1"/>
        <v>8</v>
      </c>
      <c r="AN18" s="133">
        <f t="shared" si="2"/>
        <v>1</v>
      </c>
      <c r="AO18" s="134">
        <f t="shared" si="3"/>
        <v>2</v>
      </c>
      <c r="AQ18" s="38" t="str">
        <f t="shared" si="4"/>
        <v> </v>
      </c>
    </row>
    <row r="19" spans="2:43" ht="15.75">
      <c r="B19" s="13" t="s">
        <v>41</v>
      </c>
      <c r="C19" s="136">
        <f t="shared" si="0"/>
        <v>34</v>
      </c>
      <c r="D19" s="131"/>
      <c r="E19" s="131"/>
      <c r="F19" s="131"/>
      <c r="G19" s="131"/>
      <c r="H19" s="131">
        <v>3</v>
      </c>
      <c r="I19" s="131"/>
      <c r="J19" s="131"/>
      <c r="K19" s="132"/>
      <c r="L19" s="131"/>
      <c r="M19" s="131"/>
      <c r="N19" s="131"/>
      <c r="O19" s="131"/>
      <c r="P19" s="131"/>
      <c r="Q19" s="131">
        <v>1</v>
      </c>
      <c r="R19" s="131"/>
      <c r="S19" s="131"/>
      <c r="T19" s="131"/>
      <c r="U19" s="131"/>
      <c r="V19" s="131"/>
      <c r="W19" s="131"/>
      <c r="X19" s="242"/>
      <c r="Y19" s="131"/>
      <c r="Z19" s="131"/>
      <c r="AA19" s="131"/>
      <c r="AB19" s="131">
        <v>10</v>
      </c>
      <c r="AC19" s="131"/>
      <c r="AD19" s="131"/>
      <c r="AE19" s="131">
        <v>6</v>
      </c>
      <c r="AF19" s="131"/>
      <c r="AG19" s="242">
        <v>4</v>
      </c>
      <c r="AH19" s="131"/>
      <c r="AI19" s="131"/>
      <c r="AJ19" s="132"/>
      <c r="AK19" s="131"/>
      <c r="AL19" s="131">
        <v>10</v>
      </c>
      <c r="AM19" s="133">
        <f t="shared" si="1"/>
        <v>6</v>
      </c>
      <c r="AN19" s="133">
        <f t="shared" si="2"/>
        <v>1</v>
      </c>
      <c r="AO19" s="134">
        <f t="shared" si="3"/>
        <v>2</v>
      </c>
      <c r="AQ19" s="38" t="str">
        <f t="shared" si="4"/>
        <v> </v>
      </c>
    </row>
    <row r="20" spans="2:43" ht="15.75">
      <c r="B20" s="13" t="s">
        <v>27</v>
      </c>
      <c r="C20" s="136">
        <f t="shared" si="0"/>
        <v>33</v>
      </c>
      <c r="D20" s="131"/>
      <c r="E20" s="131"/>
      <c r="F20" s="131"/>
      <c r="G20" s="131">
        <v>2</v>
      </c>
      <c r="H20" s="131">
        <v>8</v>
      </c>
      <c r="I20" s="131"/>
      <c r="J20" s="131"/>
      <c r="K20" s="132"/>
      <c r="L20" s="131"/>
      <c r="M20" s="131"/>
      <c r="N20" s="131"/>
      <c r="O20" s="131"/>
      <c r="P20" s="131"/>
      <c r="Q20" s="131">
        <v>8</v>
      </c>
      <c r="R20" s="131">
        <v>3</v>
      </c>
      <c r="S20" s="131"/>
      <c r="T20" s="131">
        <v>1</v>
      </c>
      <c r="U20" s="131"/>
      <c r="V20" s="131"/>
      <c r="W20" s="131"/>
      <c r="X20" s="131">
        <v>2</v>
      </c>
      <c r="Y20" s="131">
        <v>1</v>
      </c>
      <c r="Z20" s="131"/>
      <c r="AA20" s="131"/>
      <c r="AB20" s="131"/>
      <c r="AC20" s="131">
        <v>1</v>
      </c>
      <c r="AD20" s="131"/>
      <c r="AE20" s="131"/>
      <c r="AF20" s="131"/>
      <c r="AG20" s="131"/>
      <c r="AH20" s="131">
        <v>6</v>
      </c>
      <c r="AI20" s="131"/>
      <c r="AJ20" s="132"/>
      <c r="AK20" s="131">
        <v>1</v>
      </c>
      <c r="AL20" s="131"/>
      <c r="AM20" s="133">
        <f t="shared" si="1"/>
        <v>10</v>
      </c>
      <c r="AN20" s="133">
        <f t="shared" si="2"/>
        <v>1</v>
      </c>
      <c r="AO20" s="134">
        <f t="shared" si="3"/>
        <v>0</v>
      </c>
      <c r="AQ20" s="38" t="str">
        <f t="shared" si="4"/>
        <v> </v>
      </c>
    </row>
    <row r="21" spans="2:43" ht="15.75">
      <c r="B21" s="13" t="s">
        <v>25</v>
      </c>
      <c r="C21" s="136">
        <f t="shared" si="0"/>
        <v>25</v>
      </c>
      <c r="D21" s="131"/>
      <c r="E21" s="131">
        <v>3</v>
      </c>
      <c r="F21" s="131"/>
      <c r="G21" s="131"/>
      <c r="H21" s="131"/>
      <c r="I21" s="131"/>
      <c r="J21" s="131"/>
      <c r="K21" s="132"/>
      <c r="L21" s="131"/>
      <c r="M21" s="131">
        <v>10</v>
      </c>
      <c r="N21" s="131"/>
      <c r="O21" s="131"/>
      <c r="P21" s="131"/>
      <c r="Q21" s="131">
        <v>3</v>
      </c>
      <c r="R21" s="131"/>
      <c r="S21" s="131"/>
      <c r="T21" s="131"/>
      <c r="U21" s="131"/>
      <c r="V21" s="131">
        <v>1</v>
      </c>
      <c r="W21" s="131"/>
      <c r="X21" s="131"/>
      <c r="Y21" s="131"/>
      <c r="Z21" s="131"/>
      <c r="AA21" s="131"/>
      <c r="AB21" s="131">
        <v>3</v>
      </c>
      <c r="AC21" s="131"/>
      <c r="AD21" s="131">
        <v>3</v>
      </c>
      <c r="AE21" s="131"/>
      <c r="AF21" s="131"/>
      <c r="AG21" s="131"/>
      <c r="AH21" s="131">
        <v>2</v>
      </c>
      <c r="AI21" s="131"/>
      <c r="AJ21" s="132"/>
      <c r="AK21" s="131"/>
      <c r="AL21" s="131"/>
      <c r="AM21" s="133">
        <f t="shared" si="1"/>
        <v>7</v>
      </c>
      <c r="AN21" s="133">
        <f t="shared" si="2"/>
        <v>1</v>
      </c>
      <c r="AO21" s="134">
        <f t="shared" si="3"/>
        <v>1</v>
      </c>
      <c r="AP21" s="25"/>
      <c r="AQ21" s="38" t="str">
        <f t="shared" si="4"/>
        <v> </v>
      </c>
    </row>
    <row r="22" spans="2:43" ht="15.75">
      <c r="B22" s="13" t="s">
        <v>45</v>
      </c>
      <c r="C22" s="136">
        <f t="shared" si="0"/>
        <v>23</v>
      </c>
      <c r="D22" s="131"/>
      <c r="E22" s="131"/>
      <c r="F22" s="131">
        <v>2</v>
      </c>
      <c r="G22" s="131"/>
      <c r="H22" s="131"/>
      <c r="I22" s="131"/>
      <c r="J22" s="131"/>
      <c r="K22" s="132">
        <v>2</v>
      </c>
      <c r="L22" s="131"/>
      <c r="M22" s="131">
        <v>6</v>
      </c>
      <c r="N22" s="131"/>
      <c r="O22" s="131"/>
      <c r="P22" s="131"/>
      <c r="Q22" s="131"/>
      <c r="R22" s="131"/>
      <c r="S22" s="131"/>
      <c r="T22" s="131">
        <v>2</v>
      </c>
      <c r="U22" s="131"/>
      <c r="V22" s="131"/>
      <c r="W22" s="131"/>
      <c r="X22" s="131"/>
      <c r="Y22" s="131"/>
      <c r="Z22" s="131"/>
      <c r="AA22" s="131">
        <v>2</v>
      </c>
      <c r="AB22" s="131"/>
      <c r="AC22" s="131"/>
      <c r="AD22" s="131">
        <v>4</v>
      </c>
      <c r="AE22" s="131">
        <v>4</v>
      </c>
      <c r="AF22" s="131"/>
      <c r="AG22" s="131"/>
      <c r="AH22" s="131"/>
      <c r="AI22" s="131">
        <v>1</v>
      </c>
      <c r="AJ22" s="132"/>
      <c r="AK22" s="131"/>
      <c r="AL22" s="131"/>
      <c r="AM22" s="133">
        <f t="shared" si="1"/>
        <v>8</v>
      </c>
      <c r="AN22" s="133">
        <f t="shared" si="2"/>
        <v>1</v>
      </c>
      <c r="AO22" s="134">
        <f t="shared" si="3"/>
        <v>0</v>
      </c>
      <c r="AQ22" s="38" t="str">
        <f t="shared" si="4"/>
        <v> </v>
      </c>
    </row>
    <row r="23" spans="1:43" ht="15.75">
      <c r="A23" s="25"/>
      <c r="B23" s="13" t="s">
        <v>17</v>
      </c>
      <c r="C23" s="136">
        <f t="shared" si="0"/>
        <v>16</v>
      </c>
      <c r="D23" s="131"/>
      <c r="E23" s="131"/>
      <c r="F23" s="131"/>
      <c r="G23" s="131"/>
      <c r="H23" s="131"/>
      <c r="I23" s="131"/>
      <c r="J23" s="131"/>
      <c r="K23" s="132">
        <v>1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>
        <v>2</v>
      </c>
      <c r="V23" s="131"/>
      <c r="W23" s="131"/>
      <c r="X23" s="131"/>
      <c r="Y23" s="131"/>
      <c r="Z23" s="131"/>
      <c r="AA23" s="131"/>
      <c r="AB23" s="131"/>
      <c r="AC23" s="131">
        <v>8</v>
      </c>
      <c r="AD23" s="131"/>
      <c r="AE23" s="131">
        <v>5</v>
      </c>
      <c r="AF23" s="131"/>
      <c r="AG23" s="131"/>
      <c r="AH23" s="131"/>
      <c r="AI23" s="131"/>
      <c r="AJ23" s="132"/>
      <c r="AK23" s="131"/>
      <c r="AL23" s="131"/>
      <c r="AM23" s="133">
        <f t="shared" si="1"/>
        <v>4</v>
      </c>
      <c r="AN23" s="133">
        <f t="shared" si="2"/>
        <v>1</v>
      </c>
      <c r="AO23" s="134">
        <f t="shared" si="3"/>
        <v>0</v>
      </c>
      <c r="AQ23" s="38" t="str">
        <f t="shared" si="4"/>
        <v> </v>
      </c>
    </row>
    <row r="24" spans="2:43" ht="15.75">
      <c r="B24" s="13" t="s">
        <v>23</v>
      </c>
      <c r="C24" s="136">
        <f t="shared" si="0"/>
        <v>14</v>
      </c>
      <c r="D24" s="131"/>
      <c r="E24" s="131"/>
      <c r="F24" s="131"/>
      <c r="G24" s="131"/>
      <c r="H24" s="131"/>
      <c r="I24" s="131"/>
      <c r="J24" s="131"/>
      <c r="K24" s="132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>
        <v>8</v>
      </c>
      <c r="AE24" s="131"/>
      <c r="AF24" s="131"/>
      <c r="AG24" s="131"/>
      <c r="AH24" s="131">
        <v>4</v>
      </c>
      <c r="AI24" s="131">
        <v>2</v>
      </c>
      <c r="AJ24" s="132"/>
      <c r="AK24" s="131"/>
      <c r="AL24" s="131"/>
      <c r="AM24" s="133">
        <f t="shared" si="1"/>
        <v>3</v>
      </c>
      <c r="AN24" s="133">
        <f t="shared" si="2"/>
        <v>2</v>
      </c>
      <c r="AO24" s="134">
        <f t="shared" si="3"/>
        <v>0</v>
      </c>
      <c r="AQ24" s="38" t="str">
        <f t="shared" si="4"/>
        <v> </v>
      </c>
    </row>
    <row r="25" spans="2:43" ht="15.75">
      <c r="B25" s="13" t="s">
        <v>21</v>
      </c>
      <c r="C25" s="136">
        <f t="shared" si="0"/>
        <v>7</v>
      </c>
      <c r="D25" s="131"/>
      <c r="E25" s="131"/>
      <c r="F25" s="131"/>
      <c r="G25" s="131"/>
      <c r="H25" s="131"/>
      <c r="I25" s="131"/>
      <c r="J25" s="131">
        <v>2</v>
      </c>
      <c r="K25" s="132"/>
      <c r="L25" s="131"/>
      <c r="M25" s="131"/>
      <c r="N25" s="131"/>
      <c r="O25" s="131"/>
      <c r="P25" s="131">
        <v>3</v>
      </c>
      <c r="Q25" s="131"/>
      <c r="R25" s="131"/>
      <c r="S25" s="131"/>
      <c r="T25" s="131"/>
      <c r="U25" s="131">
        <v>2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2"/>
      <c r="AK25" s="131"/>
      <c r="AL25" s="131"/>
      <c r="AM25" s="133">
        <f t="shared" si="1"/>
        <v>3</v>
      </c>
      <c r="AN25" s="133">
        <f t="shared" si="2"/>
        <v>2</v>
      </c>
      <c r="AO25" s="134">
        <f t="shared" si="3"/>
        <v>0</v>
      </c>
      <c r="AP25" s="25"/>
      <c r="AQ25" s="38" t="str">
        <f t="shared" si="4"/>
        <v> </v>
      </c>
    </row>
    <row r="26" spans="2:43" ht="15.75">
      <c r="B26" s="13" t="s">
        <v>51</v>
      </c>
      <c r="C26" s="136">
        <f t="shared" si="0"/>
        <v>1</v>
      </c>
      <c r="D26" s="131"/>
      <c r="E26" s="131"/>
      <c r="F26" s="131"/>
      <c r="G26" s="131"/>
      <c r="H26" s="131"/>
      <c r="I26" s="131"/>
      <c r="J26" s="131"/>
      <c r="K26" s="132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>
        <v>1</v>
      </c>
      <c r="AC26" s="131"/>
      <c r="AD26" s="131"/>
      <c r="AE26" s="131"/>
      <c r="AF26" s="131"/>
      <c r="AG26" s="131"/>
      <c r="AH26" s="131"/>
      <c r="AI26" s="131"/>
      <c r="AJ26" s="132"/>
      <c r="AK26" s="131"/>
      <c r="AL26" s="131"/>
      <c r="AM26" s="133">
        <f t="shared" si="1"/>
        <v>1</v>
      </c>
      <c r="AN26" s="133">
        <f t="shared" si="2"/>
        <v>1</v>
      </c>
      <c r="AO26" s="134">
        <f t="shared" si="3"/>
        <v>0</v>
      </c>
      <c r="AQ26" s="38" t="str">
        <f t="shared" si="4"/>
        <v> </v>
      </c>
    </row>
    <row r="27" spans="2:41" s="35" customFormat="1" ht="16.5" customHeight="1">
      <c r="B27" s="197"/>
      <c r="C27" s="198"/>
      <c r="D27" s="199">
        <f aca="true" t="shared" si="5" ref="D27:AL27">SUM(D3:D26)</f>
        <v>0</v>
      </c>
      <c r="E27" s="199">
        <f t="shared" si="5"/>
        <v>39</v>
      </c>
      <c r="F27" s="199">
        <f t="shared" si="5"/>
        <v>38</v>
      </c>
      <c r="G27" s="199">
        <f t="shared" si="5"/>
        <v>39</v>
      </c>
      <c r="H27" s="199">
        <f t="shared" si="5"/>
        <v>37</v>
      </c>
      <c r="I27" s="199">
        <f t="shared" si="5"/>
        <v>39</v>
      </c>
      <c r="J27" s="199">
        <f t="shared" si="5"/>
        <v>39</v>
      </c>
      <c r="K27" s="199">
        <f t="shared" si="5"/>
        <v>39</v>
      </c>
      <c r="L27" s="199">
        <f t="shared" si="5"/>
        <v>55</v>
      </c>
      <c r="M27" s="199">
        <f t="shared" si="5"/>
        <v>38</v>
      </c>
      <c r="N27" s="199">
        <f t="shared" si="5"/>
        <v>39</v>
      </c>
      <c r="O27" s="199">
        <f t="shared" si="5"/>
        <v>39</v>
      </c>
      <c r="P27" s="199">
        <f t="shared" si="5"/>
        <v>38</v>
      </c>
      <c r="Q27" s="199">
        <f t="shared" si="5"/>
        <v>37</v>
      </c>
      <c r="R27" s="199">
        <f t="shared" si="5"/>
        <v>39</v>
      </c>
      <c r="S27" s="199">
        <f t="shared" si="5"/>
        <v>39</v>
      </c>
      <c r="T27" s="199">
        <f t="shared" si="5"/>
        <v>36</v>
      </c>
      <c r="U27" s="199">
        <f t="shared" si="5"/>
        <v>44</v>
      </c>
      <c r="V27" s="199">
        <f t="shared" si="5"/>
        <v>39</v>
      </c>
      <c r="W27" s="199">
        <f t="shared" si="5"/>
        <v>39</v>
      </c>
      <c r="X27" s="199">
        <f t="shared" si="5"/>
        <v>39</v>
      </c>
      <c r="Y27" s="199">
        <f t="shared" si="5"/>
        <v>39</v>
      </c>
      <c r="Z27" s="199">
        <f t="shared" si="5"/>
        <v>39</v>
      </c>
      <c r="AA27" s="199">
        <f t="shared" si="5"/>
        <v>38</v>
      </c>
      <c r="AB27" s="199">
        <f t="shared" si="5"/>
        <v>39</v>
      </c>
      <c r="AC27" s="199">
        <f t="shared" si="5"/>
        <v>39</v>
      </c>
      <c r="AD27" s="199">
        <f t="shared" si="5"/>
        <v>39</v>
      </c>
      <c r="AE27" s="199">
        <f t="shared" si="5"/>
        <v>39</v>
      </c>
      <c r="AF27" s="199">
        <f t="shared" si="5"/>
        <v>39</v>
      </c>
      <c r="AG27" s="199">
        <f t="shared" si="5"/>
        <v>35</v>
      </c>
      <c r="AH27" s="199">
        <f t="shared" si="5"/>
        <v>39</v>
      </c>
      <c r="AI27" s="199">
        <f t="shared" si="5"/>
        <v>39</v>
      </c>
      <c r="AJ27" s="199">
        <f t="shared" si="5"/>
        <v>39</v>
      </c>
      <c r="AK27" s="199">
        <f t="shared" si="5"/>
        <v>39</v>
      </c>
      <c r="AL27" s="199">
        <f t="shared" si="5"/>
        <v>36</v>
      </c>
      <c r="AM27" s="198"/>
      <c r="AN27" s="198"/>
      <c r="AO27" s="200"/>
    </row>
    <row r="28" spans="2:41" ht="15.75">
      <c r="B28" s="252" t="s">
        <v>168</v>
      </c>
      <c r="C28" s="253"/>
      <c r="D28" s="253"/>
      <c r="E28" s="253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4"/>
      <c r="AN28" s="254"/>
      <c r="AO28" s="255">
        <f>SUM(AO3:AO27)</f>
        <v>38</v>
      </c>
    </row>
    <row r="29" spans="3:5" ht="15.75">
      <c r="C29" s="15"/>
      <c r="D29" s="15"/>
      <c r="E29" s="15"/>
    </row>
    <row r="30" spans="3:5" ht="15.75">
      <c r="C30" s="36"/>
      <c r="D30" s="36"/>
      <c r="E30" s="36"/>
    </row>
  </sheetData>
  <sheetProtection selectLockedCells="1" selectUnlockedCells="1"/>
  <autoFilter ref="A2:AQ2">
    <sortState ref="A3:AQ30">
      <sortCondition descending="1" sortBy="value" ref="C3:C30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174" customWidth="1"/>
    <col min="17" max="16384" width="9.140625" style="8" customWidth="1"/>
  </cols>
  <sheetData>
    <row r="1" spans="2:16" s="57" customFormat="1" ht="43.5" customHeight="1">
      <c r="B1" s="441" t="str">
        <f>'Tourplan m. sløjfer'!D9</f>
        <v>WGC - Dell Match Play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P1" s="171"/>
    </row>
    <row r="2" spans="2:16" s="57" customFormat="1" ht="29.25" customHeight="1">
      <c r="B2" s="450" t="s">
        <v>201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P2" s="171"/>
    </row>
    <row r="3" spans="1:16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  <c r="P3" s="172"/>
    </row>
    <row r="4" spans="1:16" s="82" customFormat="1" ht="18" customHeight="1">
      <c r="A4" s="154" t="s">
        <v>36</v>
      </c>
      <c r="B4" s="251">
        <v>19.9</v>
      </c>
      <c r="C4" s="74">
        <v>40</v>
      </c>
      <c r="D4" s="351"/>
      <c r="E4" s="75"/>
      <c r="F4" s="73">
        <v>1</v>
      </c>
      <c r="G4" s="73">
        <v>10</v>
      </c>
      <c r="H4" s="76">
        <f>N4+I4</f>
        <v>1300000</v>
      </c>
      <c r="I4" s="77">
        <f>IF(E4&gt;0,$N$13,0)+IF(C4&gt;0,50000,0)+IF(C4&lt;0,50000,0)</f>
        <v>50000</v>
      </c>
      <c r="J4" s="78" t="s">
        <v>86</v>
      </c>
      <c r="K4" s="79"/>
      <c r="L4" s="80"/>
      <c r="M4" s="81">
        <v>10</v>
      </c>
      <c r="N4" s="76">
        <f>N12*25%</f>
        <v>1250000</v>
      </c>
      <c r="P4" s="173"/>
    </row>
    <row r="5" spans="1:16" s="82" customFormat="1" ht="18" customHeight="1">
      <c r="A5" s="154" t="s">
        <v>28</v>
      </c>
      <c r="B5" s="251">
        <v>12.5</v>
      </c>
      <c r="C5" s="73">
        <v>38</v>
      </c>
      <c r="D5" s="351"/>
      <c r="E5" s="75"/>
      <c r="F5" s="73">
        <v>2</v>
      </c>
      <c r="G5" s="73">
        <v>8</v>
      </c>
      <c r="H5" s="76">
        <f aca="true" t="shared" si="0" ref="H5:H11">N5+I5</f>
        <v>1050000</v>
      </c>
      <c r="I5" s="77">
        <f aca="true" t="shared" si="1" ref="I5:I27">IF(E5&gt;0,$N$13,0)+IF(C5&gt;0,50000,0)+IF(C5&lt;0,50000,0)</f>
        <v>50000</v>
      </c>
      <c r="J5" s="83" t="s">
        <v>87</v>
      </c>
      <c r="K5" s="84"/>
      <c r="L5" s="85"/>
      <c r="M5" s="86">
        <v>8</v>
      </c>
      <c r="N5" s="76">
        <f>N12*20%</f>
        <v>1000000</v>
      </c>
      <c r="P5" s="173"/>
    </row>
    <row r="6" spans="1:16" s="82" customFormat="1" ht="18" customHeight="1">
      <c r="A6" s="154" t="s">
        <v>18</v>
      </c>
      <c r="B6" s="251">
        <v>14.6</v>
      </c>
      <c r="C6" s="73">
        <v>34</v>
      </c>
      <c r="D6" s="351"/>
      <c r="E6" s="12"/>
      <c r="F6" s="12">
        <v>3</v>
      </c>
      <c r="G6" s="12">
        <v>6</v>
      </c>
      <c r="H6" s="76">
        <f t="shared" si="0"/>
        <v>800000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750000</v>
      </c>
      <c r="P6" s="173"/>
    </row>
    <row r="7" spans="1:18" s="82" customFormat="1" ht="18" customHeight="1">
      <c r="A7" s="154" t="s">
        <v>30</v>
      </c>
      <c r="B7" s="251">
        <v>10.8</v>
      </c>
      <c r="C7" s="73">
        <v>31</v>
      </c>
      <c r="D7" s="350"/>
      <c r="E7" s="12"/>
      <c r="F7" s="73">
        <v>4</v>
      </c>
      <c r="G7" s="73">
        <v>5</v>
      </c>
      <c r="H7" s="76">
        <f t="shared" si="0"/>
        <v>650000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600000</v>
      </c>
      <c r="O7" s="87"/>
      <c r="P7" s="173"/>
      <c r="Q7" s="87"/>
      <c r="R7" s="88"/>
    </row>
    <row r="8" spans="1:16" s="82" customFormat="1" ht="18" customHeight="1">
      <c r="A8" s="154" t="s">
        <v>171</v>
      </c>
      <c r="B8" s="251">
        <v>11.6</v>
      </c>
      <c r="C8" s="74">
        <v>28</v>
      </c>
      <c r="D8" s="351"/>
      <c r="E8" s="12"/>
      <c r="F8" s="73">
        <v>5</v>
      </c>
      <c r="G8" s="73">
        <v>4</v>
      </c>
      <c r="H8" s="76">
        <f t="shared" si="0"/>
        <v>550000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500000</v>
      </c>
      <c r="P8" s="173"/>
    </row>
    <row r="9" spans="1:16" s="82" customFormat="1" ht="18" customHeight="1">
      <c r="A9" s="154" t="s">
        <v>42</v>
      </c>
      <c r="B9" s="251">
        <v>16.5</v>
      </c>
      <c r="C9" s="73">
        <v>27</v>
      </c>
      <c r="D9" s="350"/>
      <c r="E9" s="75"/>
      <c r="F9" s="90">
        <v>6</v>
      </c>
      <c r="G9" s="90">
        <v>3</v>
      </c>
      <c r="H9" s="76">
        <f t="shared" si="0"/>
        <v>450000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400000</v>
      </c>
      <c r="P9" s="173"/>
    </row>
    <row r="10" spans="1:16" s="82" customFormat="1" ht="18" customHeight="1">
      <c r="A10" s="154" t="s">
        <v>38</v>
      </c>
      <c r="B10" s="251">
        <v>14.7</v>
      </c>
      <c r="C10" s="73">
        <v>26</v>
      </c>
      <c r="D10" s="350"/>
      <c r="E10" s="75"/>
      <c r="F10" s="73">
        <v>7</v>
      </c>
      <c r="G10" s="73">
        <v>2</v>
      </c>
      <c r="H10" s="76">
        <f t="shared" si="0"/>
        <v>350000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300000</v>
      </c>
      <c r="P10" s="173"/>
    </row>
    <row r="11" spans="1:16" s="82" customFormat="1" ht="18" customHeight="1">
      <c r="A11" s="154" t="s">
        <v>26</v>
      </c>
      <c r="B11" s="251">
        <v>23.5</v>
      </c>
      <c r="C11" s="12">
        <v>24</v>
      </c>
      <c r="D11" s="351"/>
      <c r="E11" s="75"/>
      <c r="F11" s="73">
        <v>8</v>
      </c>
      <c r="G11" s="73">
        <v>1</v>
      </c>
      <c r="H11" s="76">
        <f t="shared" si="0"/>
        <v>250000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200000</v>
      </c>
      <c r="P11" s="173"/>
    </row>
    <row r="12" spans="1:16" s="82" customFormat="1" ht="18" customHeight="1">
      <c r="A12" s="154" t="s">
        <v>10</v>
      </c>
      <c r="B12" s="251">
        <v>15.3</v>
      </c>
      <c r="C12" s="73">
        <v>22</v>
      </c>
      <c r="D12" s="351"/>
      <c r="E12" s="75"/>
      <c r="F12" s="73"/>
      <c r="G12" s="73"/>
      <c r="H12" s="76">
        <f>I12</f>
        <v>50000</v>
      </c>
      <c r="I12" s="77">
        <f t="shared" si="1"/>
        <v>50000</v>
      </c>
      <c r="J12" s="91" t="s">
        <v>94</v>
      </c>
      <c r="K12" s="84"/>
      <c r="L12" s="85"/>
      <c r="M12" s="86"/>
      <c r="N12" s="92">
        <v>5000000</v>
      </c>
      <c r="P12" s="173"/>
    </row>
    <row r="13" spans="1:16" s="82" customFormat="1" ht="18" customHeight="1">
      <c r="A13" s="154" t="s">
        <v>50</v>
      </c>
      <c r="B13" s="251">
        <v>24.4</v>
      </c>
      <c r="C13" s="73">
        <v>22</v>
      </c>
      <c r="D13" s="350"/>
      <c r="E13" s="12"/>
      <c r="F13" s="73"/>
      <c r="G13" s="73"/>
      <c r="H13" s="76">
        <f aca="true" t="shared" si="2" ref="H13:H27">I13</f>
        <v>50000</v>
      </c>
      <c r="I13" s="77">
        <f t="shared" si="1"/>
        <v>50000</v>
      </c>
      <c r="J13" s="94" t="s">
        <v>95</v>
      </c>
      <c r="K13" s="95"/>
      <c r="L13" s="96"/>
      <c r="M13" s="97">
        <v>1</v>
      </c>
      <c r="N13" s="98">
        <f>N10</f>
        <v>300000</v>
      </c>
      <c r="P13" s="173"/>
    </row>
    <row r="14" spans="1:16" s="82" customFormat="1" ht="18" customHeight="1">
      <c r="A14" s="154"/>
      <c r="B14" s="251"/>
      <c r="C14" s="73"/>
      <c r="D14" s="351"/>
      <c r="E14" s="75"/>
      <c r="F14" s="73"/>
      <c r="G14" s="73"/>
      <c r="H14" s="76">
        <f t="shared" si="2"/>
        <v>0</v>
      </c>
      <c r="I14" s="77">
        <f t="shared" si="1"/>
        <v>0</v>
      </c>
      <c r="J14" s="99"/>
      <c r="K14" s="95"/>
      <c r="L14" s="95"/>
      <c r="M14" s="100"/>
      <c r="N14" s="101"/>
      <c r="P14" s="173"/>
    </row>
    <row r="15" spans="1:16" s="82" customFormat="1" ht="18" customHeight="1">
      <c r="A15" s="154"/>
      <c r="B15" s="251"/>
      <c r="C15" s="74"/>
      <c r="D15" s="351"/>
      <c r="E15" s="12"/>
      <c r="F15" s="73"/>
      <c r="G15" s="73"/>
      <c r="H15" s="76">
        <f t="shared" si="2"/>
        <v>0</v>
      </c>
      <c r="I15" s="77">
        <f t="shared" si="1"/>
        <v>0</v>
      </c>
      <c r="J15" s="102"/>
      <c r="K15" s="103"/>
      <c r="L15" s="103"/>
      <c r="M15" s="104"/>
      <c r="N15" s="105"/>
      <c r="P15" s="173"/>
    </row>
    <row r="16" spans="1:16" s="82" customFormat="1" ht="18" customHeight="1">
      <c r="A16" s="154"/>
      <c r="B16" s="251"/>
      <c r="C16" s="93"/>
      <c r="D16" s="351"/>
      <c r="E16" s="75"/>
      <c r="F16" s="12"/>
      <c r="G16" s="12"/>
      <c r="H16" s="76">
        <f t="shared" si="2"/>
        <v>0</v>
      </c>
      <c r="I16" s="77">
        <f t="shared" si="1"/>
        <v>0</v>
      </c>
      <c r="P16" s="173"/>
    </row>
    <row r="17" spans="1:16" s="82" customFormat="1" ht="18" customHeight="1">
      <c r="A17" s="154"/>
      <c r="B17" s="251"/>
      <c r="C17" s="73"/>
      <c r="D17" s="351"/>
      <c r="E17" s="75"/>
      <c r="F17" s="12"/>
      <c r="G17" s="12"/>
      <c r="H17" s="76">
        <f t="shared" si="2"/>
        <v>0</v>
      </c>
      <c r="I17" s="77">
        <f t="shared" si="1"/>
        <v>0</v>
      </c>
      <c r="J17" s="87"/>
      <c r="K17" s="87"/>
      <c r="L17" s="87"/>
      <c r="M17" s="88"/>
      <c r="P17" s="173"/>
    </row>
    <row r="18" spans="1:16" s="82" customFormat="1" ht="18" customHeight="1">
      <c r="A18" s="154"/>
      <c r="B18" s="251"/>
      <c r="C18" s="73"/>
      <c r="D18" s="351"/>
      <c r="E18" s="75"/>
      <c r="F18" s="73"/>
      <c r="G18" s="73"/>
      <c r="H18" s="76">
        <f t="shared" si="2"/>
        <v>0</v>
      </c>
      <c r="I18" s="77">
        <f t="shared" si="1"/>
        <v>0</v>
      </c>
      <c r="J18" s="88"/>
      <c r="K18" s="88"/>
      <c r="L18" s="88"/>
      <c r="M18" s="88"/>
      <c r="P18" s="173"/>
    </row>
    <row r="19" spans="1:16" s="82" customFormat="1" ht="18" customHeight="1">
      <c r="A19" s="154"/>
      <c r="B19" s="251"/>
      <c r="C19" s="73"/>
      <c r="D19" s="351"/>
      <c r="E19" s="75"/>
      <c r="F19" s="73"/>
      <c r="G19" s="73"/>
      <c r="H19" s="76">
        <f t="shared" si="2"/>
        <v>0</v>
      </c>
      <c r="I19" s="77">
        <f t="shared" si="1"/>
        <v>0</v>
      </c>
      <c r="J19" s="88"/>
      <c r="K19" s="88"/>
      <c r="L19" s="88"/>
      <c r="M19" s="88"/>
      <c r="P19" s="173"/>
    </row>
    <row r="20" spans="1:16" s="57" customFormat="1" ht="18" customHeight="1">
      <c r="A20" s="154"/>
      <c r="B20" s="251"/>
      <c r="C20" s="74"/>
      <c r="D20" s="350"/>
      <c r="E20" s="90"/>
      <c r="F20" s="12"/>
      <c r="G20" s="12"/>
      <c r="H20" s="76">
        <f t="shared" si="2"/>
        <v>0</v>
      </c>
      <c r="I20" s="77">
        <f t="shared" si="1"/>
        <v>0</v>
      </c>
      <c r="P20" s="173"/>
    </row>
    <row r="21" spans="1:16" s="57" customFormat="1" ht="18" customHeight="1">
      <c r="A21" s="154"/>
      <c r="B21" s="251"/>
      <c r="C21" s="73"/>
      <c r="D21" s="350"/>
      <c r="E21" s="12"/>
      <c r="F21" s="12"/>
      <c r="G21" s="12"/>
      <c r="H21" s="76">
        <f t="shared" si="2"/>
        <v>0</v>
      </c>
      <c r="I21" s="77">
        <f t="shared" si="1"/>
        <v>0</v>
      </c>
      <c r="P21" s="173"/>
    </row>
    <row r="22" spans="1:16" s="57" customFormat="1" ht="18" customHeight="1">
      <c r="A22" s="154"/>
      <c r="B22" s="251"/>
      <c r="C22" s="74"/>
      <c r="D22" s="351"/>
      <c r="E22" s="75"/>
      <c r="F22" s="12"/>
      <c r="G22" s="12"/>
      <c r="H22" s="76">
        <f t="shared" si="2"/>
        <v>0</v>
      </c>
      <c r="I22" s="77">
        <f t="shared" si="1"/>
        <v>0</v>
      </c>
      <c r="P22" s="173"/>
    </row>
    <row r="23" spans="1:16" s="57" customFormat="1" ht="18" customHeight="1">
      <c r="A23" s="154"/>
      <c r="B23" s="251"/>
      <c r="C23" s="12"/>
      <c r="D23" s="350"/>
      <c r="E23" s="12"/>
      <c r="F23" s="12"/>
      <c r="G23" s="12"/>
      <c r="H23" s="76">
        <f t="shared" si="2"/>
        <v>0</v>
      </c>
      <c r="I23" s="77">
        <f t="shared" si="1"/>
        <v>0</v>
      </c>
      <c r="P23" s="171"/>
    </row>
    <row r="24" spans="1:16" s="57" customFormat="1" ht="18" customHeight="1">
      <c r="A24" s="154"/>
      <c r="B24" s="251"/>
      <c r="C24" s="74"/>
      <c r="D24" s="351"/>
      <c r="E24" s="12"/>
      <c r="F24" s="12"/>
      <c r="G24" s="12"/>
      <c r="H24" s="76">
        <f t="shared" si="2"/>
        <v>0</v>
      </c>
      <c r="I24" s="77">
        <f t="shared" si="1"/>
        <v>0</v>
      </c>
      <c r="P24" s="171"/>
    </row>
    <row r="25" spans="1:16" s="57" customFormat="1" ht="18" customHeight="1">
      <c r="A25" s="154"/>
      <c r="B25" s="251"/>
      <c r="C25" s="73"/>
      <c r="D25" s="351"/>
      <c r="E25" s="75"/>
      <c r="F25" s="12"/>
      <c r="G25" s="12"/>
      <c r="H25" s="76">
        <f t="shared" si="2"/>
        <v>0</v>
      </c>
      <c r="I25" s="77">
        <f t="shared" si="1"/>
        <v>0</v>
      </c>
      <c r="P25" s="171"/>
    </row>
    <row r="26" spans="1:16" s="57" customFormat="1" ht="18" customHeight="1">
      <c r="A26" s="154"/>
      <c r="B26" s="251"/>
      <c r="C26" s="73"/>
      <c r="D26" s="351"/>
      <c r="E26" s="75"/>
      <c r="F26" s="73"/>
      <c r="G26" s="73"/>
      <c r="H26" s="76">
        <f t="shared" si="2"/>
        <v>0</v>
      </c>
      <c r="I26" s="77">
        <f t="shared" si="1"/>
        <v>0</v>
      </c>
      <c r="P26" s="171"/>
    </row>
    <row r="27" spans="1:16" s="57" customFormat="1" ht="18" customHeight="1">
      <c r="A27" s="154"/>
      <c r="B27" s="251"/>
      <c r="C27" s="73"/>
      <c r="D27" s="350"/>
      <c r="E27" s="75"/>
      <c r="F27" s="73"/>
      <c r="G27" s="73"/>
      <c r="H27" s="76">
        <f t="shared" si="2"/>
        <v>0</v>
      </c>
      <c r="I27" s="77">
        <f t="shared" si="1"/>
        <v>0</v>
      </c>
      <c r="P27" s="171"/>
    </row>
    <row r="28" spans="1:9" ht="24" customHeight="1" thickBot="1">
      <c r="A28" s="1"/>
      <c r="B28" s="3"/>
      <c r="C28" s="107"/>
      <c r="D28" s="109">
        <f>SUM(D4:D27)</f>
        <v>0</v>
      </c>
      <c r="E28" s="107"/>
      <c r="F28" s="3"/>
      <c r="G28" s="109">
        <f>SUM(G4:G27)</f>
        <v>39</v>
      </c>
      <c r="H28" s="109">
        <f>SUM(H4:H27)</f>
        <v>5500000</v>
      </c>
      <c r="I28" s="110"/>
    </row>
    <row r="29" ht="18.75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174" customWidth="1"/>
    <col min="17" max="17" width="9.140625" style="129" customWidth="1"/>
    <col min="18" max="16384" width="9.140625" style="8" customWidth="1"/>
  </cols>
  <sheetData>
    <row r="1" spans="2:17" s="57" customFormat="1" ht="43.5" customHeight="1">
      <c r="B1" s="441" t="str">
        <f>'Tourplan m. sløjfer'!D8</f>
        <v>Arnold Palmer Invitational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P1" s="171"/>
      <c r="Q1" s="165"/>
    </row>
    <row r="2" spans="2:17" s="57" customFormat="1" ht="29.25" customHeight="1">
      <c r="B2" s="450" t="s">
        <v>200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P2" s="171"/>
      <c r="Q2" s="165"/>
    </row>
    <row r="3" spans="1:17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  <c r="P3" s="172"/>
      <c r="Q3" s="166"/>
    </row>
    <row r="4" spans="1:17" s="82" customFormat="1" ht="18" customHeight="1">
      <c r="A4" s="154" t="s">
        <v>40</v>
      </c>
      <c r="B4" s="251">
        <v>22</v>
      </c>
      <c r="C4" s="73">
        <v>39</v>
      </c>
      <c r="D4" s="351"/>
      <c r="E4" s="348"/>
      <c r="F4" s="73">
        <v>1</v>
      </c>
      <c r="G4" s="73">
        <v>10</v>
      </c>
      <c r="H4" s="76">
        <f>N4+I4</f>
        <v>1300000</v>
      </c>
      <c r="I4" s="77">
        <f>IF(E4&gt;0,$N$13,0)+IF(C4&gt;0,50000,0)+IF(C4&lt;0,50000,0)</f>
        <v>50000</v>
      </c>
      <c r="J4" s="78" t="s">
        <v>86</v>
      </c>
      <c r="K4" s="79"/>
      <c r="L4" s="80"/>
      <c r="M4" s="81">
        <v>10</v>
      </c>
      <c r="N4" s="76">
        <f>N12*25%</f>
        <v>1250000</v>
      </c>
      <c r="P4" s="173"/>
      <c r="Q4" s="59"/>
    </row>
    <row r="5" spans="1:17" s="82" customFormat="1" ht="18" customHeight="1">
      <c r="A5" s="154" t="s">
        <v>171</v>
      </c>
      <c r="B5" s="251">
        <v>11.6</v>
      </c>
      <c r="C5" s="93">
        <v>34</v>
      </c>
      <c r="D5" s="351"/>
      <c r="E5" s="348"/>
      <c r="F5" s="73">
        <v>2</v>
      </c>
      <c r="G5" s="73">
        <v>8</v>
      </c>
      <c r="H5" s="76">
        <f aca="true" t="shared" si="0" ref="H5:H11">N5+I5</f>
        <v>1050000</v>
      </c>
      <c r="I5" s="77">
        <f aca="true" t="shared" si="1" ref="I5:I27">IF(E5&gt;0,$N$13,0)+IF(C5&gt;0,50000,0)+IF(C5&lt;0,50000,0)</f>
        <v>50000</v>
      </c>
      <c r="J5" s="83" t="s">
        <v>87</v>
      </c>
      <c r="K5" s="84"/>
      <c r="L5" s="85"/>
      <c r="M5" s="86">
        <v>8</v>
      </c>
      <c r="N5" s="76">
        <f>N12*20%</f>
        <v>1000000</v>
      </c>
      <c r="P5" s="173"/>
      <c r="Q5" s="59"/>
    </row>
    <row r="6" spans="1:17" s="82" customFormat="1" ht="18" customHeight="1">
      <c r="A6" s="154" t="s">
        <v>28</v>
      </c>
      <c r="B6" s="251">
        <v>12.5</v>
      </c>
      <c r="C6" s="12">
        <v>33</v>
      </c>
      <c r="D6" s="351"/>
      <c r="E6" s="348"/>
      <c r="F6" s="12">
        <v>3</v>
      </c>
      <c r="G6" s="12">
        <v>6</v>
      </c>
      <c r="H6" s="76">
        <f t="shared" si="0"/>
        <v>800000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750000</v>
      </c>
      <c r="P6" s="173"/>
      <c r="Q6" s="59"/>
    </row>
    <row r="7" spans="1:18" s="82" customFormat="1" ht="18" customHeight="1">
      <c r="A7" s="154" t="s">
        <v>12</v>
      </c>
      <c r="B7" s="251">
        <v>19</v>
      </c>
      <c r="C7" s="74">
        <v>33</v>
      </c>
      <c r="D7" s="351"/>
      <c r="E7" s="349"/>
      <c r="F7" s="73">
        <v>4</v>
      </c>
      <c r="G7" s="73">
        <v>5</v>
      </c>
      <c r="H7" s="76">
        <f t="shared" si="0"/>
        <v>650000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600000</v>
      </c>
      <c r="O7" s="87"/>
      <c r="P7" s="173"/>
      <c r="Q7" s="87"/>
      <c r="R7" s="88"/>
    </row>
    <row r="8" spans="1:17" s="82" customFormat="1" ht="18" customHeight="1">
      <c r="A8" s="154" t="s">
        <v>18</v>
      </c>
      <c r="B8" s="251">
        <v>14.6</v>
      </c>
      <c r="C8" s="73">
        <v>31</v>
      </c>
      <c r="D8" s="351"/>
      <c r="E8" s="348"/>
      <c r="F8" s="73">
        <v>5</v>
      </c>
      <c r="G8" s="73">
        <v>4</v>
      </c>
      <c r="H8" s="76">
        <f t="shared" si="0"/>
        <v>550000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500000</v>
      </c>
      <c r="P8" s="173"/>
      <c r="Q8" s="59"/>
    </row>
    <row r="9" spans="1:17" s="82" customFormat="1" ht="18" customHeight="1">
      <c r="A9" s="154" t="s">
        <v>10</v>
      </c>
      <c r="B9" s="251">
        <v>15.3</v>
      </c>
      <c r="C9" s="74">
        <v>31</v>
      </c>
      <c r="D9" s="351"/>
      <c r="E9" s="348"/>
      <c r="F9" s="90">
        <v>6</v>
      </c>
      <c r="G9" s="90">
        <v>3</v>
      </c>
      <c r="H9" s="76">
        <f t="shared" si="0"/>
        <v>450000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400000</v>
      </c>
      <c r="P9" s="173"/>
      <c r="Q9" s="59"/>
    </row>
    <row r="10" spans="1:17" s="82" customFormat="1" ht="18" customHeight="1">
      <c r="A10" s="154" t="s">
        <v>46</v>
      </c>
      <c r="B10" s="251">
        <v>20.6</v>
      </c>
      <c r="C10" s="73">
        <v>31</v>
      </c>
      <c r="D10" s="351"/>
      <c r="E10" s="348"/>
      <c r="F10" s="73">
        <v>7</v>
      </c>
      <c r="G10" s="73">
        <v>2</v>
      </c>
      <c r="H10" s="76">
        <f t="shared" si="0"/>
        <v>350000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300000</v>
      </c>
      <c r="P10" s="173"/>
      <c r="Q10" s="59"/>
    </row>
    <row r="11" spans="1:17" s="82" customFormat="1" ht="18" customHeight="1">
      <c r="A11" s="154" t="s">
        <v>42</v>
      </c>
      <c r="B11" s="251">
        <v>16.5</v>
      </c>
      <c r="C11" s="74">
        <v>30</v>
      </c>
      <c r="D11" s="351"/>
      <c r="E11" s="350"/>
      <c r="F11" s="73">
        <v>8</v>
      </c>
      <c r="G11" s="73">
        <v>1</v>
      </c>
      <c r="H11" s="76">
        <f t="shared" si="0"/>
        <v>250000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200000</v>
      </c>
      <c r="P11" s="173"/>
      <c r="Q11" s="59"/>
    </row>
    <row r="12" spans="1:17" s="82" customFormat="1" ht="18" customHeight="1">
      <c r="A12" s="154" t="s">
        <v>50</v>
      </c>
      <c r="B12" s="251">
        <v>24.4</v>
      </c>
      <c r="C12" s="74">
        <v>30</v>
      </c>
      <c r="D12" s="351"/>
      <c r="E12" s="348"/>
      <c r="F12" s="73"/>
      <c r="G12" s="73"/>
      <c r="H12" s="76">
        <f>I12</f>
        <v>50000</v>
      </c>
      <c r="I12" s="77">
        <f t="shared" si="1"/>
        <v>50000</v>
      </c>
      <c r="J12" s="91" t="s">
        <v>94</v>
      </c>
      <c r="K12" s="84"/>
      <c r="L12" s="85"/>
      <c r="M12" s="86"/>
      <c r="N12" s="92">
        <v>5000000</v>
      </c>
      <c r="P12" s="173"/>
      <c r="Q12" s="59"/>
    </row>
    <row r="13" spans="1:17" s="82" customFormat="1" ht="18" customHeight="1">
      <c r="A13" s="154" t="s">
        <v>44</v>
      </c>
      <c r="B13" s="251">
        <v>14.1</v>
      </c>
      <c r="C13" s="73">
        <v>29</v>
      </c>
      <c r="D13" s="351"/>
      <c r="E13" s="348"/>
      <c r="F13" s="73"/>
      <c r="G13" s="73"/>
      <c r="H13" s="76">
        <f aca="true" t="shared" si="2" ref="H13:H27">I13</f>
        <v>50000</v>
      </c>
      <c r="I13" s="77">
        <f t="shared" si="1"/>
        <v>50000</v>
      </c>
      <c r="J13" s="94" t="s">
        <v>95</v>
      </c>
      <c r="K13" s="95"/>
      <c r="L13" s="96"/>
      <c r="M13" s="97">
        <v>1</v>
      </c>
      <c r="N13" s="98">
        <f>N10</f>
        <v>300000</v>
      </c>
      <c r="P13" s="173"/>
      <c r="Q13" s="59"/>
    </row>
    <row r="14" spans="1:17" s="82" customFormat="1" ht="18" customHeight="1">
      <c r="A14" s="154" t="s">
        <v>24</v>
      </c>
      <c r="B14" s="251">
        <v>17.3</v>
      </c>
      <c r="C14" s="73">
        <v>28</v>
      </c>
      <c r="D14" s="351"/>
      <c r="E14" s="348"/>
      <c r="F14" s="73"/>
      <c r="G14" s="73"/>
      <c r="H14" s="76">
        <f t="shared" si="2"/>
        <v>50000</v>
      </c>
      <c r="I14" s="77">
        <f t="shared" si="1"/>
        <v>50000</v>
      </c>
      <c r="J14" s="99"/>
      <c r="K14" s="95"/>
      <c r="L14" s="95"/>
      <c r="M14" s="100"/>
      <c r="N14" s="101"/>
      <c r="P14" s="173"/>
      <c r="Q14" s="59"/>
    </row>
    <row r="15" spans="1:17" s="82" customFormat="1" ht="18" customHeight="1">
      <c r="A15" s="154" t="s">
        <v>30</v>
      </c>
      <c r="B15" s="251">
        <v>10.8</v>
      </c>
      <c r="C15" s="73">
        <v>27</v>
      </c>
      <c r="D15" s="351"/>
      <c r="E15" s="350"/>
      <c r="F15" s="73"/>
      <c r="G15" s="73"/>
      <c r="H15" s="76">
        <f t="shared" si="2"/>
        <v>50000</v>
      </c>
      <c r="I15" s="77">
        <f t="shared" si="1"/>
        <v>50000</v>
      </c>
      <c r="J15" s="102"/>
      <c r="K15" s="103"/>
      <c r="L15" s="103"/>
      <c r="M15" s="104"/>
      <c r="N15" s="105"/>
      <c r="P15" s="173"/>
      <c r="Q15" s="59"/>
    </row>
    <row r="16" spans="1:17" s="82" customFormat="1" ht="18" customHeight="1">
      <c r="A16" s="154" t="s">
        <v>8</v>
      </c>
      <c r="B16" s="251">
        <v>23</v>
      </c>
      <c r="C16" s="73">
        <v>27</v>
      </c>
      <c r="D16" s="351"/>
      <c r="E16" s="348"/>
      <c r="F16" s="12"/>
      <c r="G16" s="12"/>
      <c r="H16" s="76">
        <f t="shared" si="2"/>
        <v>50000</v>
      </c>
      <c r="I16" s="77">
        <f t="shared" si="1"/>
        <v>50000</v>
      </c>
      <c r="P16" s="173"/>
      <c r="Q16" s="59"/>
    </row>
    <row r="17" spans="1:17" s="82" customFormat="1" ht="18" customHeight="1">
      <c r="A17" s="154"/>
      <c r="B17" s="251"/>
      <c r="C17" s="73"/>
      <c r="D17" s="351"/>
      <c r="E17" s="348"/>
      <c r="F17" s="12"/>
      <c r="G17" s="12"/>
      <c r="H17" s="76">
        <f t="shared" si="2"/>
        <v>0</v>
      </c>
      <c r="I17" s="77">
        <f t="shared" si="1"/>
        <v>0</v>
      </c>
      <c r="J17" s="87"/>
      <c r="K17" s="87"/>
      <c r="L17" s="87"/>
      <c r="M17" s="88"/>
      <c r="P17" s="173"/>
      <c r="Q17" s="59"/>
    </row>
    <row r="18" spans="1:17" s="82" customFormat="1" ht="18" customHeight="1">
      <c r="A18" s="154"/>
      <c r="B18" s="251"/>
      <c r="C18" s="74"/>
      <c r="D18" s="351"/>
      <c r="E18" s="348"/>
      <c r="F18" s="73"/>
      <c r="G18" s="73"/>
      <c r="H18" s="76">
        <f t="shared" si="2"/>
        <v>0</v>
      </c>
      <c r="I18" s="77">
        <f t="shared" si="1"/>
        <v>0</v>
      </c>
      <c r="J18" s="88"/>
      <c r="K18" s="88"/>
      <c r="L18" s="88"/>
      <c r="M18" s="88"/>
      <c r="P18" s="173"/>
      <c r="Q18" s="59"/>
    </row>
    <row r="19" spans="1:17" s="82" customFormat="1" ht="18" customHeight="1">
      <c r="A19" s="154"/>
      <c r="B19" s="251"/>
      <c r="C19" s="73"/>
      <c r="D19" s="351"/>
      <c r="E19" s="348"/>
      <c r="F19" s="73"/>
      <c r="G19" s="73"/>
      <c r="H19" s="76">
        <f t="shared" si="2"/>
        <v>0</v>
      </c>
      <c r="I19" s="77">
        <f t="shared" si="1"/>
        <v>0</v>
      </c>
      <c r="J19" s="88"/>
      <c r="K19" s="88"/>
      <c r="L19" s="88"/>
      <c r="M19" s="88"/>
      <c r="P19" s="173"/>
      <c r="Q19" s="59"/>
    </row>
    <row r="20" spans="1:17" s="57" customFormat="1" ht="18" customHeight="1">
      <c r="A20" s="154"/>
      <c r="B20" s="251"/>
      <c r="C20" s="73"/>
      <c r="D20" s="351"/>
      <c r="E20" s="350"/>
      <c r="F20" s="12"/>
      <c r="G20" s="12"/>
      <c r="H20" s="76">
        <f t="shared" si="2"/>
        <v>0</v>
      </c>
      <c r="I20" s="77">
        <f t="shared" si="1"/>
        <v>0</v>
      </c>
      <c r="P20" s="171"/>
      <c r="Q20" s="165"/>
    </row>
    <row r="21" spans="1:17" s="57" customFormat="1" ht="18" customHeight="1">
      <c r="A21" s="154"/>
      <c r="B21" s="251"/>
      <c r="C21" s="73"/>
      <c r="D21" s="350"/>
      <c r="E21" s="350"/>
      <c r="F21" s="12"/>
      <c r="G21" s="12"/>
      <c r="H21" s="76">
        <f t="shared" si="2"/>
        <v>0</v>
      </c>
      <c r="I21" s="77">
        <f t="shared" si="1"/>
        <v>0</v>
      </c>
      <c r="P21" s="171"/>
      <c r="Q21" s="165"/>
    </row>
    <row r="22" spans="1:17" s="57" customFormat="1" ht="18" customHeight="1">
      <c r="A22" s="154"/>
      <c r="B22" s="251"/>
      <c r="C22" s="74"/>
      <c r="D22" s="351"/>
      <c r="E22" s="350"/>
      <c r="F22" s="12"/>
      <c r="G22" s="12"/>
      <c r="H22" s="76">
        <f t="shared" si="2"/>
        <v>0</v>
      </c>
      <c r="I22" s="77">
        <f t="shared" si="1"/>
        <v>0</v>
      </c>
      <c r="P22" s="171"/>
      <c r="Q22" s="165"/>
    </row>
    <row r="23" spans="1:17" s="57" customFormat="1" ht="18" customHeight="1">
      <c r="A23" s="154"/>
      <c r="B23" s="251"/>
      <c r="C23" s="12"/>
      <c r="D23" s="350"/>
      <c r="E23" s="350"/>
      <c r="F23" s="12"/>
      <c r="G23" s="12"/>
      <c r="H23" s="76">
        <f t="shared" si="2"/>
        <v>0</v>
      </c>
      <c r="I23" s="77">
        <f t="shared" si="1"/>
        <v>0</v>
      </c>
      <c r="P23" s="171"/>
      <c r="Q23" s="165"/>
    </row>
    <row r="24" spans="1:17" s="57" customFormat="1" ht="18" customHeight="1">
      <c r="A24" s="154"/>
      <c r="B24" s="251"/>
      <c r="C24" s="73"/>
      <c r="D24" s="350"/>
      <c r="E24" s="350"/>
      <c r="F24" s="12"/>
      <c r="G24" s="12"/>
      <c r="H24" s="76">
        <f t="shared" si="2"/>
        <v>0</v>
      </c>
      <c r="I24" s="77">
        <f t="shared" si="1"/>
        <v>0</v>
      </c>
      <c r="P24" s="171"/>
      <c r="Q24" s="165"/>
    </row>
    <row r="25" spans="1:17" s="57" customFormat="1" ht="18" customHeight="1">
      <c r="A25" s="154"/>
      <c r="B25" s="251"/>
      <c r="C25" s="73"/>
      <c r="D25" s="350"/>
      <c r="E25" s="350"/>
      <c r="F25" s="12"/>
      <c r="G25" s="12"/>
      <c r="H25" s="76">
        <f t="shared" si="2"/>
        <v>0</v>
      </c>
      <c r="I25" s="77">
        <f t="shared" si="1"/>
        <v>0</v>
      </c>
      <c r="P25" s="171"/>
      <c r="Q25" s="165"/>
    </row>
    <row r="26" spans="1:17" s="57" customFormat="1" ht="18" customHeight="1">
      <c r="A26" s="154"/>
      <c r="B26" s="251"/>
      <c r="C26" s="73"/>
      <c r="D26" s="350"/>
      <c r="E26" s="348"/>
      <c r="F26" s="73"/>
      <c r="G26" s="73"/>
      <c r="H26" s="76">
        <f t="shared" si="2"/>
        <v>0</v>
      </c>
      <c r="I26" s="77">
        <f t="shared" si="1"/>
        <v>0</v>
      </c>
      <c r="P26" s="171"/>
      <c r="Q26" s="165"/>
    </row>
    <row r="27" spans="1:17" s="57" customFormat="1" ht="18" customHeight="1">
      <c r="A27" s="154"/>
      <c r="B27" s="251"/>
      <c r="C27" s="73"/>
      <c r="D27" s="351"/>
      <c r="E27" s="348"/>
      <c r="F27" s="73"/>
      <c r="G27" s="73"/>
      <c r="H27" s="76">
        <f t="shared" si="2"/>
        <v>0</v>
      </c>
      <c r="I27" s="77">
        <f t="shared" si="1"/>
        <v>0</v>
      </c>
      <c r="P27" s="171"/>
      <c r="Q27" s="165"/>
    </row>
    <row r="28" spans="1:9" ht="24" customHeight="1" thickBot="1">
      <c r="A28" s="1"/>
      <c r="B28" s="3"/>
      <c r="C28" s="107"/>
      <c r="D28" s="109">
        <f>SUM(D4:D27)</f>
        <v>0</v>
      </c>
      <c r="E28" s="107"/>
      <c r="F28" s="3"/>
      <c r="G28" s="109">
        <f>SUM(G4:G27)</f>
        <v>39</v>
      </c>
      <c r="H28" s="109">
        <f>SUM(H4:H27)</f>
        <v>5650000</v>
      </c>
      <c r="I28" s="110"/>
    </row>
    <row r="29" ht="18.75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portrait" paperSize="9" scale="61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G42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1" width="8.421875" style="326" customWidth="1"/>
    <col min="2" max="3" width="11.421875" style="326" customWidth="1"/>
    <col min="4" max="4" width="33.421875" style="326" customWidth="1"/>
    <col min="5" max="6" width="12.140625" style="326" customWidth="1"/>
    <col min="7" max="7" width="31.140625" style="326" customWidth="1"/>
    <col min="8" max="16384" width="11.421875" style="326" customWidth="1"/>
  </cols>
  <sheetData>
    <row r="1" spans="1:7" ht="37.5" customHeight="1">
      <c r="A1" s="474" t="s">
        <v>176</v>
      </c>
      <c r="B1" s="474"/>
      <c r="C1" s="474"/>
      <c r="D1" s="474"/>
      <c r="E1" s="474"/>
      <c r="F1" s="474"/>
      <c r="G1" s="474"/>
    </row>
    <row r="2" spans="1:7" s="327" customFormat="1" ht="15.75" customHeight="1">
      <c r="A2" s="475" t="s">
        <v>182</v>
      </c>
      <c r="B2" s="475"/>
      <c r="C2" s="475"/>
      <c r="D2" s="475"/>
      <c r="E2" s="475"/>
      <c r="F2" s="475"/>
      <c r="G2" s="475"/>
    </row>
    <row r="3" spans="1:7" ht="22.5" customHeight="1">
      <c r="A3" s="476" t="s">
        <v>121</v>
      </c>
      <c r="B3" s="476"/>
      <c r="C3" s="476"/>
      <c r="D3" s="476"/>
      <c r="E3" s="476"/>
      <c r="F3" s="476"/>
      <c r="G3" s="476"/>
    </row>
    <row r="4" spans="1:7" s="329" customFormat="1" ht="22.5" customHeight="1">
      <c r="A4" s="328" t="s">
        <v>74</v>
      </c>
      <c r="B4" s="328" t="s">
        <v>122</v>
      </c>
      <c r="C4" s="328" t="s">
        <v>123</v>
      </c>
      <c r="D4" s="328" t="s">
        <v>124</v>
      </c>
      <c r="E4" s="328" t="s">
        <v>183</v>
      </c>
      <c r="F4" s="328" t="s">
        <v>147</v>
      </c>
      <c r="G4" s="328" t="s">
        <v>125</v>
      </c>
    </row>
    <row r="5" spans="1:7" ht="22.5" customHeight="1">
      <c r="A5" s="330">
        <v>42435</v>
      </c>
      <c r="B5" s="331">
        <v>0.4166666666666667</v>
      </c>
      <c r="C5" s="332" t="s">
        <v>100</v>
      </c>
      <c r="D5" s="333" t="s">
        <v>161</v>
      </c>
      <c r="E5" s="332" t="s">
        <v>126</v>
      </c>
      <c r="F5" s="332" t="s">
        <v>148</v>
      </c>
      <c r="G5" s="334" t="s">
        <v>127</v>
      </c>
    </row>
    <row r="6" spans="1:7" ht="22.5" customHeight="1">
      <c r="A6" s="330">
        <v>42442</v>
      </c>
      <c r="B6" s="331">
        <v>0.4166666666666667</v>
      </c>
      <c r="C6" s="332" t="s">
        <v>100</v>
      </c>
      <c r="D6" s="333" t="s">
        <v>150</v>
      </c>
      <c r="E6" s="332" t="s">
        <v>126</v>
      </c>
      <c r="F6" s="332" t="s">
        <v>148</v>
      </c>
      <c r="G6" s="334" t="s">
        <v>127</v>
      </c>
    </row>
    <row r="7" spans="1:7" ht="22.5" customHeight="1">
      <c r="A7" s="477" t="s">
        <v>128</v>
      </c>
      <c r="B7" s="477"/>
      <c r="C7" s="477"/>
      <c r="D7" s="477"/>
      <c r="E7" s="477"/>
      <c r="F7" s="477"/>
      <c r="G7" s="477"/>
    </row>
    <row r="8" spans="1:7" ht="22.5" customHeight="1">
      <c r="A8" s="347">
        <v>42446</v>
      </c>
      <c r="B8" s="331">
        <v>0.6666666666666666</v>
      </c>
      <c r="C8" s="335">
        <v>5000000</v>
      </c>
      <c r="D8" s="333" t="s">
        <v>120</v>
      </c>
      <c r="E8" s="332" t="s">
        <v>126</v>
      </c>
      <c r="F8" s="332" t="s">
        <v>148</v>
      </c>
      <c r="G8" s="336" t="s">
        <v>129</v>
      </c>
    </row>
    <row r="9" spans="1:7" ht="22.5" customHeight="1">
      <c r="A9" s="347">
        <v>42453</v>
      </c>
      <c r="B9" s="331">
        <v>0.3333333333333333</v>
      </c>
      <c r="C9" s="335">
        <v>5000000</v>
      </c>
      <c r="D9" s="333" t="s">
        <v>177</v>
      </c>
      <c r="E9" s="332" t="s">
        <v>126</v>
      </c>
      <c r="F9" s="332" t="s">
        <v>184</v>
      </c>
      <c r="G9" s="337"/>
    </row>
    <row r="10" spans="1:7" ht="22.5" customHeight="1">
      <c r="A10" s="347">
        <v>42460</v>
      </c>
      <c r="B10" s="331">
        <v>0.6666666666666666</v>
      </c>
      <c r="C10" s="335">
        <v>6000000</v>
      </c>
      <c r="D10" s="333" t="s">
        <v>119</v>
      </c>
      <c r="E10" s="332" t="s">
        <v>126</v>
      </c>
      <c r="F10" s="332" t="s">
        <v>184</v>
      </c>
      <c r="G10" s="338"/>
    </row>
    <row r="11" spans="1:7" ht="22.5" customHeight="1">
      <c r="A11" s="347">
        <v>42467</v>
      </c>
      <c r="B11" s="331">
        <v>0.666666666666667</v>
      </c>
      <c r="C11" s="335">
        <v>8000000</v>
      </c>
      <c r="D11" s="339" t="s">
        <v>131</v>
      </c>
      <c r="E11" s="332" t="s">
        <v>126</v>
      </c>
      <c r="F11" s="332" t="s">
        <v>185</v>
      </c>
      <c r="G11" s="340" t="s">
        <v>195</v>
      </c>
    </row>
    <row r="12" spans="1:7" ht="22.5" customHeight="1">
      <c r="A12" s="347">
        <v>42474</v>
      </c>
      <c r="B12" s="331">
        <v>0.666666666666667</v>
      </c>
      <c r="C12" s="335">
        <v>6000000</v>
      </c>
      <c r="D12" s="333" t="s">
        <v>117</v>
      </c>
      <c r="E12" s="332" t="s">
        <v>126</v>
      </c>
      <c r="F12" s="332" t="s">
        <v>186</v>
      </c>
      <c r="G12" s="341" t="s">
        <v>244</v>
      </c>
    </row>
    <row r="13" spans="1:7" ht="22.5" customHeight="1">
      <c r="A13" s="347">
        <v>42481</v>
      </c>
      <c r="B13" s="331">
        <v>0.666666666666667</v>
      </c>
      <c r="C13" s="335">
        <v>6000000</v>
      </c>
      <c r="D13" s="342" t="s">
        <v>118</v>
      </c>
      <c r="E13" s="332" t="s">
        <v>126</v>
      </c>
      <c r="F13" s="332" t="s">
        <v>184</v>
      </c>
      <c r="G13" s="343"/>
    </row>
    <row r="14" spans="1:7" ht="22.5" customHeight="1">
      <c r="A14" s="347">
        <v>42488</v>
      </c>
      <c r="B14" s="331">
        <v>0.666666666666667</v>
      </c>
      <c r="C14" s="335">
        <v>6000000</v>
      </c>
      <c r="D14" s="333" t="s">
        <v>116</v>
      </c>
      <c r="E14" s="332" t="s">
        <v>126</v>
      </c>
      <c r="F14" s="332" t="s">
        <v>185</v>
      </c>
      <c r="G14" s="340"/>
    </row>
    <row r="15" spans="1:7" ht="22.5" customHeight="1">
      <c r="A15" s="347">
        <v>42495</v>
      </c>
      <c r="B15" s="331">
        <v>0.3333333333333333</v>
      </c>
      <c r="C15" s="335">
        <v>6000000</v>
      </c>
      <c r="D15" s="333" t="s">
        <v>115</v>
      </c>
      <c r="E15" s="332" t="s">
        <v>126</v>
      </c>
      <c r="F15" s="332" t="s">
        <v>184</v>
      </c>
      <c r="G15" s="337"/>
    </row>
    <row r="16" spans="1:7" ht="22.5" customHeight="1">
      <c r="A16" s="347">
        <v>42502</v>
      </c>
      <c r="B16" s="331">
        <v>0.666666666666667</v>
      </c>
      <c r="C16" s="335">
        <v>6000000</v>
      </c>
      <c r="D16" s="333" t="s">
        <v>114</v>
      </c>
      <c r="E16" s="332" t="s">
        <v>126</v>
      </c>
      <c r="F16" s="332" t="s">
        <v>184</v>
      </c>
      <c r="G16" s="344" t="s">
        <v>195</v>
      </c>
    </row>
    <row r="17" spans="1:7" ht="22.5" customHeight="1">
      <c r="A17" s="347">
        <v>42509</v>
      </c>
      <c r="B17" s="331">
        <v>0.666666666666667</v>
      </c>
      <c r="C17" s="335">
        <v>6000000</v>
      </c>
      <c r="D17" s="333" t="s">
        <v>156</v>
      </c>
      <c r="E17" s="332" t="s">
        <v>126</v>
      </c>
      <c r="F17" s="332" t="s">
        <v>185</v>
      </c>
      <c r="G17" s="336" t="s">
        <v>243</v>
      </c>
    </row>
    <row r="18" spans="1:7" ht="22.5" customHeight="1">
      <c r="A18" s="347">
        <v>42516</v>
      </c>
      <c r="B18" s="331">
        <v>0.666666666666667</v>
      </c>
      <c r="C18" s="335">
        <v>6000000</v>
      </c>
      <c r="D18" s="342" t="s">
        <v>246</v>
      </c>
      <c r="E18" s="332" t="s">
        <v>132</v>
      </c>
      <c r="F18" s="332" t="s">
        <v>186</v>
      </c>
      <c r="G18" s="337"/>
    </row>
    <row r="19" spans="1:7" ht="22.5" customHeight="1">
      <c r="A19" s="347">
        <v>42518</v>
      </c>
      <c r="B19" s="332" t="s">
        <v>137</v>
      </c>
      <c r="C19" s="332" t="s">
        <v>138</v>
      </c>
      <c r="D19" s="333" t="s">
        <v>241</v>
      </c>
      <c r="E19" s="332" t="s">
        <v>242</v>
      </c>
      <c r="F19" s="332" t="s">
        <v>250</v>
      </c>
      <c r="G19" s="336" t="s">
        <v>194</v>
      </c>
    </row>
    <row r="20" spans="1:7" ht="22.5" customHeight="1">
      <c r="A20" s="347">
        <v>42523</v>
      </c>
      <c r="B20" s="331">
        <v>0.666666666666667</v>
      </c>
      <c r="C20" s="335">
        <v>6000000</v>
      </c>
      <c r="D20" s="333" t="s">
        <v>157</v>
      </c>
      <c r="E20" s="332" t="s">
        <v>126</v>
      </c>
      <c r="F20" s="332" t="s">
        <v>184</v>
      </c>
      <c r="G20" s="344" t="s">
        <v>195</v>
      </c>
    </row>
    <row r="21" spans="1:7" ht="22.5" customHeight="1">
      <c r="A21" s="347">
        <v>42530</v>
      </c>
      <c r="B21" s="331">
        <v>0.666666666666667</v>
      </c>
      <c r="C21" s="335">
        <v>6000000</v>
      </c>
      <c r="D21" s="333" t="s">
        <v>113</v>
      </c>
      <c r="E21" s="332" t="s">
        <v>126</v>
      </c>
      <c r="F21" s="332" t="s">
        <v>185</v>
      </c>
      <c r="G21" s="340"/>
    </row>
    <row r="22" spans="1:7" ht="22.5" customHeight="1">
      <c r="A22" s="347">
        <v>42537</v>
      </c>
      <c r="B22" s="331">
        <v>0.666666666666667</v>
      </c>
      <c r="C22" s="335">
        <v>8000000</v>
      </c>
      <c r="D22" s="339" t="s">
        <v>133</v>
      </c>
      <c r="E22" s="332" t="s">
        <v>132</v>
      </c>
      <c r="F22" s="332" t="s">
        <v>186</v>
      </c>
      <c r="G22" s="341"/>
    </row>
    <row r="23" spans="1:7" ht="22.5" customHeight="1">
      <c r="A23" s="347">
        <v>42544</v>
      </c>
      <c r="B23" s="331">
        <v>0.666666666666667</v>
      </c>
      <c r="C23" s="335">
        <v>6000000</v>
      </c>
      <c r="D23" s="333" t="s">
        <v>159</v>
      </c>
      <c r="E23" s="332" t="s">
        <v>126</v>
      </c>
      <c r="F23" s="332" t="s">
        <v>184</v>
      </c>
      <c r="G23" s="343"/>
    </row>
    <row r="24" spans="1:7" ht="22.5" customHeight="1">
      <c r="A24" s="347">
        <v>42551</v>
      </c>
      <c r="B24" s="331">
        <v>0.666666666666667</v>
      </c>
      <c r="C24" s="335">
        <v>6000000</v>
      </c>
      <c r="D24" s="333" t="s">
        <v>158</v>
      </c>
      <c r="E24" s="332" t="s">
        <v>165</v>
      </c>
      <c r="F24" s="332" t="s">
        <v>185</v>
      </c>
      <c r="G24" s="340" t="s">
        <v>188</v>
      </c>
    </row>
    <row r="25" spans="1:7" ht="22.5" customHeight="1">
      <c r="A25" s="347">
        <v>42558</v>
      </c>
      <c r="B25" s="331">
        <v>0.666666666666667</v>
      </c>
      <c r="C25" s="335">
        <v>6000000</v>
      </c>
      <c r="D25" s="333" t="s">
        <v>178</v>
      </c>
      <c r="E25" s="332" t="s">
        <v>126</v>
      </c>
      <c r="F25" s="332" t="s">
        <v>186</v>
      </c>
      <c r="G25" s="337" t="s">
        <v>195</v>
      </c>
    </row>
    <row r="26" spans="1:7" ht="22.5" customHeight="1">
      <c r="A26" s="347">
        <v>42565</v>
      </c>
      <c r="B26" s="331">
        <v>0.666666666666667</v>
      </c>
      <c r="C26" s="335">
        <v>8000000</v>
      </c>
      <c r="D26" s="339" t="s">
        <v>134</v>
      </c>
      <c r="E26" s="332" t="s">
        <v>132</v>
      </c>
      <c r="F26" s="332" t="s">
        <v>184</v>
      </c>
      <c r="G26" s="344"/>
    </row>
    <row r="27" spans="1:7" ht="22.5" customHeight="1">
      <c r="A27" s="347">
        <v>42572</v>
      </c>
      <c r="B27" s="331">
        <v>0.666666666666667</v>
      </c>
      <c r="C27" s="335">
        <v>6000000</v>
      </c>
      <c r="D27" s="333" t="s">
        <v>110</v>
      </c>
      <c r="E27" s="332" t="s">
        <v>126</v>
      </c>
      <c r="F27" s="332" t="s">
        <v>185</v>
      </c>
      <c r="G27" s="336"/>
    </row>
    <row r="28" spans="1:7" ht="22.5" customHeight="1">
      <c r="A28" s="347">
        <v>42579</v>
      </c>
      <c r="B28" s="331">
        <v>0.666666666666667</v>
      </c>
      <c r="C28" s="335">
        <v>8000000</v>
      </c>
      <c r="D28" s="339" t="s">
        <v>135</v>
      </c>
      <c r="E28" s="332" t="s">
        <v>126</v>
      </c>
      <c r="F28" s="332" t="s">
        <v>186</v>
      </c>
      <c r="G28" s="337"/>
    </row>
    <row r="29" spans="1:7" ht="22.5" customHeight="1">
      <c r="A29" s="347">
        <v>42586</v>
      </c>
      <c r="B29" s="331">
        <v>0.666666666666667</v>
      </c>
      <c r="C29" s="335">
        <v>6000000</v>
      </c>
      <c r="D29" s="333" t="s">
        <v>111</v>
      </c>
      <c r="E29" s="332" t="s">
        <v>126</v>
      </c>
      <c r="F29" s="332" t="s">
        <v>184</v>
      </c>
      <c r="G29" s="344" t="s">
        <v>130</v>
      </c>
    </row>
    <row r="30" spans="1:7" ht="22.5" customHeight="1">
      <c r="A30" s="347">
        <v>42593</v>
      </c>
      <c r="B30" s="331">
        <v>0.666666666666667</v>
      </c>
      <c r="C30" s="335">
        <v>6000000</v>
      </c>
      <c r="D30" s="333" t="s">
        <v>274</v>
      </c>
      <c r="E30" s="332" t="s">
        <v>126</v>
      </c>
      <c r="F30" s="332" t="s">
        <v>185</v>
      </c>
      <c r="G30" s="340"/>
    </row>
    <row r="31" spans="1:7" ht="22.5" customHeight="1">
      <c r="A31" s="347">
        <v>42600</v>
      </c>
      <c r="B31" s="331">
        <v>0.666666666666667</v>
      </c>
      <c r="C31" s="335">
        <v>6000000</v>
      </c>
      <c r="D31" s="333" t="s">
        <v>160</v>
      </c>
      <c r="E31" s="332" t="s">
        <v>126</v>
      </c>
      <c r="F31" s="332" t="s">
        <v>186</v>
      </c>
      <c r="G31" s="341"/>
    </row>
    <row r="32" spans="1:7" ht="22.5" customHeight="1">
      <c r="A32" s="347">
        <v>42607</v>
      </c>
      <c r="B32" s="331">
        <v>0.666666666666667</v>
      </c>
      <c r="C32" s="335">
        <v>6000000</v>
      </c>
      <c r="D32" s="333" t="s">
        <v>179</v>
      </c>
      <c r="E32" s="332" t="s">
        <v>126</v>
      </c>
      <c r="F32" s="332" t="s">
        <v>184</v>
      </c>
      <c r="G32" s="343" t="s">
        <v>245</v>
      </c>
    </row>
    <row r="33" spans="1:7" ht="22.5" customHeight="1">
      <c r="A33" s="347">
        <v>42609</v>
      </c>
      <c r="B33" s="331" t="s">
        <v>162</v>
      </c>
      <c r="C33" s="332" t="s">
        <v>138</v>
      </c>
      <c r="D33" s="333" t="s">
        <v>283</v>
      </c>
      <c r="E33" s="332" t="s">
        <v>139</v>
      </c>
      <c r="F33" s="332" t="s">
        <v>299</v>
      </c>
      <c r="G33" s="341" t="s">
        <v>194</v>
      </c>
    </row>
    <row r="34" spans="1:7" ht="22.5" customHeight="1">
      <c r="A34" s="347">
        <v>42614</v>
      </c>
      <c r="B34" s="331">
        <v>0.666666666666667</v>
      </c>
      <c r="C34" s="335">
        <v>6000000</v>
      </c>
      <c r="D34" s="333" t="s">
        <v>106</v>
      </c>
      <c r="E34" s="332" t="s">
        <v>126</v>
      </c>
      <c r="F34" s="332" t="s">
        <v>185</v>
      </c>
      <c r="G34" s="340" t="s">
        <v>195</v>
      </c>
    </row>
    <row r="35" spans="1:7" ht="22.5" customHeight="1">
      <c r="A35" s="347">
        <v>42621</v>
      </c>
      <c r="B35" s="331">
        <v>0.666666666666667</v>
      </c>
      <c r="C35" s="335">
        <v>6000000</v>
      </c>
      <c r="D35" s="333" t="s">
        <v>99</v>
      </c>
      <c r="E35" s="332" t="s">
        <v>126</v>
      </c>
      <c r="F35" s="332" t="s">
        <v>186</v>
      </c>
      <c r="G35" s="337"/>
    </row>
    <row r="36" spans="1:7" ht="22.5" customHeight="1">
      <c r="A36" s="347">
        <v>42628</v>
      </c>
      <c r="B36" s="331">
        <v>0.666666666666667</v>
      </c>
      <c r="C36" s="335">
        <v>6000000</v>
      </c>
      <c r="D36" s="346" t="s">
        <v>152</v>
      </c>
      <c r="E36" s="332" t="s">
        <v>126</v>
      </c>
      <c r="F36" s="332" t="s">
        <v>184</v>
      </c>
      <c r="G36" s="344"/>
    </row>
    <row r="37" spans="1:7" ht="22.5" customHeight="1">
      <c r="A37" s="347">
        <v>42635</v>
      </c>
      <c r="B37" s="331">
        <v>0.6666666666666666</v>
      </c>
      <c r="C37" s="335">
        <v>7000000</v>
      </c>
      <c r="D37" s="333" t="s">
        <v>151</v>
      </c>
      <c r="E37" s="332" t="s">
        <v>126</v>
      </c>
      <c r="F37" s="332" t="s">
        <v>185</v>
      </c>
      <c r="G37" s="340" t="s">
        <v>129</v>
      </c>
    </row>
    <row r="38" spans="1:7" ht="22.5" customHeight="1">
      <c r="A38" s="347">
        <v>42642</v>
      </c>
      <c r="B38" s="331">
        <v>0.6666666666666666</v>
      </c>
      <c r="C38" s="335">
        <v>8000000</v>
      </c>
      <c r="D38" s="345" t="s">
        <v>180</v>
      </c>
      <c r="E38" s="332" t="s">
        <v>126</v>
      </c>
      <c r="F38" s="332" t="s">
        <v>186</v>
      </c>
      <c r="G38" s="341" t="s">
        <v>129</v>
      </c>
    </row>
    <row r="39" spans="1:7" ht="22.5" customHeight="1">
      <c r="A39" s="347">
        <v>42649</v>
      </c>
      <c r="B39" s="331">
        <v>0.6666666666666666</v>
      </c>
      <c r="C39" s="335">
        <v>9000000</v>
      </c>
      <c r="D39" s="333" t="s">
        <v>163</v>
      </c>
      <c r="E39" s="332" t="s">
        <v>126</v>
      </c>
      <c r="F39" s="332" t="s">
        <v>184</v>
      </c>
      <c r="G39" s="344" t="s">
        <v>195</v>
      </c>
    </row>
    <row r="40" spans="1:7" ht="22.5" customHeight="1">
      <c r="A40" s="347">
        <v>42651</v>
      </c>
      <c r="B40" s="331">
        <v>0.3333333333333333</v>
      </c>
      <c r="C40" s="335">
        <v>10000000</v>
      </c>
      <c r="D40" s="333" t="s">
        <v>174</v>
      </c>
      <c r="E40" s="332" t="s">
        <v>126</v>
      </c>
      <c r="F40" s="332" t="s">
        <v>187</v>
      </c>
      <c r="G40" s="340" t="s">
        <v>136</v>
      </c>
    </row>
    <row r="41" spans="1:7" ht="22.5" customHeight="1">
      <c r="A41" s="471" t="s">
        <v>140</v>
      </c>
      <c r="B41" s="472"/>
      <c r="C41" s="472"/>
      <c r="D41" s="472"/>
      <c r="E41" s="472"/>
      <c r="F41" s="472"/>
      <c r="G41" s="473"/>
    </row>
    <row r="42" spans="1:7" ht="22.5" customHeight="1">
      <c r="A42" s="330" t="s">
        <v>181</v>
      </c>
      <c r="B42" s="330" t="s">
        <v>181</v>
      </c>
      <c r="C42" s="333"/>
      <c r="D42" s="333" t="s">
        <v>141</v>
      </c>
      <c r="E42" s="333"/>
      <c r="F42" s="333"/>
      <c r="G42" s="334" t="s">
        <v>142</v>
      </c>
    </row>
  </sheetData>
  <sheetProtection selectLockedCells="1" selectUnlockedCells="1"/>
  <mergeCells count="5">
    <mergeCell ref="A41:G41"/>
    <mergeCell ref="A1:G1"/>
    <mergeCell ref="A2:G2"/>
    <mergeCell ref="A3:G3"/>
    <mergeCell ref="A7:G7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68"/>
</worksheet>
</file>

<file path=xl/worksheets/sheet43.xml><?xml version="1.0" encoding="utf-8"?>
<worksheet xmlns="http://schemas.openxmlformats.org/spreadsheetml/2006/main" xmlns:r="http://schemas.openxmlformats.org/officeDocument/2006/relationships">
  <dimension ref="B2:AH56"/>
  <sheetViews>
    <sheetView zoomScalePageLayoutView="0" workbookViewId="0" topLeftCell="A1">
      <selection activeCell="AE4" sqref="AE4"/>
    </sheetView>
  </sheetViews>
  <sheetFormatPr defaultColWidth="11.57421875" defaultRowHeight="12.75"/>
  <cols>
    <col min="1" max="1" width="2.8515625" style="8" customWidth="1"/>
    <col min="2" max="2" width="13.00390625" style="8" customWidth="1"/>
    <col min="3" max="12" width="11.421875" style="8" hidden="1" customWidth="1"/>
    <col min="13" max="21" width="11.421875" style="8" customWidth="1"/>
    <col min="22" max="16384" width="11.421875" style="8" customWidth="1"/>
  </cols>
  <sheetData>
    <row r="2" spans="2:31" ht="15.75">
      <c r="B2" s="212" t="s">
        <v>143</v>
      </c>
      <c r="C2" s="213">
        <v>42460</v>
      </c>
      <c r="D2" s="213">
        <v>42467</v>
      </c>
      <c r="E2" s="213">
        <v>42474</v>
      </c>
      <c r="F2" s="213">
        <v>42481</v>
      </c>
      <c r="G2" s="213">
        <v>42488</v>
      </c>
      <c r="H2" s="213">
        <v>42495</v>
      </c>
      <c r="I2" s="213">
        <v>42502</v>
      </c>
      <c r="J2" s="213">
        <v>42509</v>
      </c>
      <c r="K2" s="213">
        <v>42516</v>
      </c>
      <c r="L2" s="213">
        <v>42523</v>
      </c>
      <c r="M2" s="213">
        <v>42530</v>
      </c>
      <c r="N2" s="213">
        <v>42537</v>
      </c>
      <c r="O2" s="213">
        <v>42544</v>
      </c>
      <c r="P2" s="213">
        <v>42551</v>
      </c>
      <c r="Q2" s="213">
        <v>42558</v>
      </c>
      <c r="R2" s="213">
        <v>42565</v>
      </c>
      <c r="S2" s="213">
        <v>42572</v>
      </c>
      <c r="T2" s="213">
        <v>42579</v>
      </c>
      <c r="U2" s="213">
        <v>42586</v>
      </c>
      <c r="V2" s="213">
        <v>42593</v>
      </c>
      <c r="W2" s="213">
        <v>42600</v>
      </c>
      <c r="X2" s="213">
        <v>42607</v>
      </c>
      <c r="Y2" s="213">
        <v>42614</v>
      </c>
      <c r="Z2" s="213">
        <v>42621</v>
      </c>
      <c r="AA2" s="213">
        <v>42628</v>
      </c>
      <c r="AB2" s="213">
        <v>42635</v>
      </c>
      <c r="AC2" s="213">
        <v>42642</v>
      </c>
      <c r="AD2" s="213">
        <v>42649</v>
      </c>
      <c r="AE2" s="213">
        <v>42656</v>
      </c>
    </row>
    <row r="3" spans="2:34" ht="15.75">
      <c r="B3" s="214">
        <v>0.6666666666666666</v>
      </c>
      <c r="C3" s="215" t="s">
        <v>211</v>
      </c>
      <c r="D3" s="215" t="s">
        <v>204</v>
      </c>
      <c r="E3" s="215" t="s">
        <v>204</v>
      </c>
      <c r="F3" s="215"/>
      <c r="G3" s="215" t="s">
        <v>212</v>
      </c>
      <c r="H3" s="215"/>
      <c r="I3" s="215" t="s">
        <v>213</v>
      </c>
      <c r="J3" s="215" t="s">
        <v>221</v>
      </c>
      <c r="K3" s="215"/>
      <c r="L3" s="215" t="s">
        <v>211</v>
      </c>
      <c r="M3" s="215" t="s">
        <v>206</v>
      </c>
      <c r="N3" s="215" t="s">
        <v>228</v>
      </c>
      <c r="O3" s="215" t="s">
        <v>212</v>
      </c>
      <c r="P3" s="215" t="s">
        <v>204</v>
      </c>
      <c r="Q3" s="215" t="s">
        <v>210</v>
      </c>
      <c r="R3" s="215" t="s">
        <v>13</v>
      </c>
      <c r="S3" s="215" t="s">
        <v>212</v>
      </c>
      <c r="T3" s="215"/>
      <c r="U3" s="215" t="s">
        <v>209</v>
      </c>
      <c r="V3" s="215"/>
      <c r="W3" s="215"/>
      <c r="X3" s="215"/>
      <c r="Y3" s="215" t="s">
        <v>208</v>
      </c>
      <c r="Z3" s="215" t="s">
        <v>15</v>
      </c>
      <c r="AA3" s="215" t="s">
        <v>212</v>
      </c>
      <c r="AB3" s="215" t="s">
        <v>209</v>
      </c>
      <c r="AC3" s="215"/>
      <c r="AD3" s="215" t="s">
        <v>39</v>
      </c>
      <c r="AE3" s="215" t="s">
        <v>25</v>
      </c>
      <c r="AG3" s="426" t="s">
        <v>31</v>
      </c>
      <c r="AH3" s="427">
        <v>126</v>
      </c>
    </row>
    <row r="4" spans="2:34" ht="15.75">
      <c r="B4" s="216"/>
      <c r="C4" s="215" t="s">
        <v>212</v>
      </c>
      <c r="D4" s="215" t="s">
        <v>208</v>
      </c>
      <c r="E4" s="215" t="s">
        <v>207</v>
      </c>
      <c r="F4" s="215"/>
      <c r="G4" s="215" t="s">
        <v>15</v>
      </c>
      <c r="H4" s="215"/>
      <c r="I4" s="215" t="s">
        <v>230</v>
      </c>
      <c r="J4" s="215" t="s">
        <v>213</v>
      </c>
      <c r="K4" s="215"/>
      <c r="L4" s="215" t="s">
        <v>228</v>
      </c>
      <c r="M4" s="215" t="s">
        <v>221</v>
      </c>
      <c r="N4" s="215" t="s">
        <v>230</v>
      </c>
      <c r="O4" s="215" t="s">
        <v>15</v>
      </c>
      <c r="P4" s="215" t="s">
        <v>263</v>
      </c>
      <c r="Q4" s="215" t="s">
        <v>209</v>
      </c>
      <c r="R4" s="215" t="s">
        <v>210</v>
      </c>
      <c r="S4" s="215" t="s">
        <v>206</v>
      </c>
      <c r="T4" s="215"/>
      <c r="U4" s="215" t="s">
        <v>206</v>
      </c>
      <c r="V4" s="215"/>
      <c r="W4" s="215"/>
      <c r="X4" s="215"/>
      <c r="Y4" s="215" t="s">
        <v>207</v>
      </c>
      <c r="Z4" s="215" t="s">
        <v>221</v>
      </c>
      <c r="AA4" s="215" t="s">
        <v>230</v>
      </c>
      <c r="AB4" s="215" t="s">
        <v>205</v>
      </c>
      <c r="AC4" s="215"/>
      <c r="AD4" s="215" t="s">
        <v>228</v>
      </c>
      <c r="AE4" s="215" t="s">
        <v>41</v>
      </c>
      <c r="AG4" s="428" t="s">
        <v>33</v>
      </c>
      <c r="AH4" s="429">
        <v>115</v>
      </c>
    </row>
    <row r="5" spans="2:34" ht="15.75">
      <c r="B5" s="216"/>
      <c r="C5" s="215" t="s">
        <v>25</v>
      </c>
      <c r="D5" s="215" t="s">
        <v>214</v>
      </c>
      <c r="E5" s="215" t="s">
        <v>206</v>
      </c>
      <c r="F5" s="215"/>
      <c r="G5" s="215" t="s">
        <v>207</v>
      </c>
      <c r="H5" s="215"/>
      <c r="I5" s="215" t="s">
        <v>215</v>
      </c>
      <c r="J5" s="215" t="s">
        <v>207</v>
      </c>
      <c r="K5" s="215"/>
      <c r="L5" s="215" t="s">
        <v>15</v>
      </c>
      <c r="M5" s="215" t="s">
        <v>207</v>
      </c>
      <c r="N5" s="215" t="s">
        <v>15</v>
      </c>
      <c r="O5" s="215" t="s">
        <v>206</v>
      </c>
      <c r="P5" s="215" t="s">
        <v>210</v>
      </c>
      <c r="Q5" s="215" t="s">
        <v>205</v>
      </c>
      <c r="R5" s="215" t="s">
        <v>211</v>
      </c>
      <c r="S5" s="215" t="s">
        <v>214</v>
      </c>
      <c r="T5" s="215"/>
      <c r="U5" s="215" t="s">
        <v>15</v>
      </c>
      <c r="V5" s="215"/>
      <c r="W5" s="215"/>
      <c r="X5" s="215"/>
      <c r="Y5" s="215" t="s">
        <v>211</v>
      </c>
      <c r="Z5" s="215" t="s">
        <v>208</v>
      </c>
      <c r="AA5" s="215" t="s">
        <v>218</v>
      </c>
      <c r="AB5" s="215" t="s">
        <v>208</v>
      </c>
      <c r="AC5" s="215"/>
      <c r="AD5" s="215" t="s">
        <v>15</v>
      </c>
      <c r="AE5" s="215" t="s">
        <v>47</v>
      </c>
      <c r="AG5" s="428" t="s">
        <v>13</v>
      </c>
      <c r="AH5" s="429">
        <v>95</v>
      </c>
    </row>
    <row r="6" spans="2:34" ht="15.75">
      <c r="B6" s="216"/>
      <c r="C6" s="215"/>
      <c r="D6" s="215" t="s">
        <v>212</v>
      </c>
      <c r="E6" s="378" t="s">
        <v>15</v>
      </c>
      <c r="F6" s="215"/>
      <c r="G6" s="215"/>
      <c r="H6" s="215"/>
      <c r="I6" s="215" t="s">
        <v>219</v>
      </c>
      <c r="J6" s="215" t="s">
        <v>211</v>
      </c>
      <c r="K6" s="215"/>
      <c r="L6" s="215"/>
      <c r="M6" s="215" t="s">
        <v>213</v>
      </c>
      <c r="N6" s="215" t="s">
        <v>221</v>
      </c>
      <c r="O6" s="215"/>
      <c r="P6" s="215" t="s">
        <v>209</v>
      </c>
      <c r="Q6" s="215"/>
      <c r="R6" s="215"/>
      <c r="S6" s="215"/>
      <c r="T6" s="215"/>
      <c r="U6" s="215" t="s">
        <v>13</v>
      </c>
      <c r="V6" s="215"/>
      <c r="W6" s="215"/>
      <c r="X6" s="215"/>
      <c r="Y6" s="215" t="s">
        <v>212</v>
      </c>
      <c r="Z6" s="215" t="s">
        <v>220</v>
      </c>
      <c r="AA6" s="215" t="s">
        <v>219</v>
      </c>
      <c r="AB6" s="215" t="s">
        <v>211</v>
      </c>
      <c r="AC6" s="215"/>
      <c r="AD6" s="215" t="s">
        <v>212</v>
      </c>
      <c r="AE6" s="215"/>
      <c r="AG6" s="428" t="s">
        <v>49</v>
      </c>
      <c r="AH6" s="429">
        <v>84</v>
      </c>
    </row>
    <row r="7" spans="2:34" s="71" customFormat="1" ht="15.75">
      <c r="B7" s="217">
        <v>0.6770833333333334</v>
      </c>
      <c r="C7" s="218" t="s">
        <v>204</v>
      </c>
      <c r="D7" s="218" t="s">
        <v>218</v>
      </c>
      <c r="E7" s="218" t="s">
        <v>210</v>
      </c>
      <c r="F7" s="218"/>
      <c r="G7" s="218" t="s">
        <v>13</v>
      </c>
      <c r="H7" s="218"/>
      <c r="I7" s="218" t="s">
        <v>221</v>
      </c>
      <c r="J7" s="218" t="s">
        <v>210</v>
      </c>
      <c r="K7" s="218"/>
      <c r="L7" s="218" t="s">
        <v>204</v>
      </c>
      <c r="M7" s="218" t="s">
        <v>204</v>
      </c>
      <c r="N7" s="218" t="s">
        <v>211</v>
      </c>
      <c r="O7" s="218" t="s">
        <v>204</v>
      </c>
      <c r="P7" s="218" t="s">
        <v>205</v>
      </c>
      <c r="Q7" s="218" t="s">
        <v>208</v>
      </c>
      <c r="R7" s="218" t="s">
        <v>206</v>
      </c>
      <c r="S7" s="218" t="s">
        <v>208</v>
      </c>
      <c r="T7" s="218"/>
      <c r="U7" s="218" t="s">
        <v>208</v>
      </c>
      <c r="V7" s="218"/>
      <c r="W7" s="218"/>
      <c r="X7" s="218"/>
      <c r="Y7" s="218" t="s">
        <v>205</v>
      </c>
      <c r="Z7" s="218" t="s">
        <v>213</v>
      </c>
      <c r="AA7" s="218" t="s">
        <v>263</v>
      </c>
      <c r="AB7" s="218" t="s">
        <v>206</v>
      </c>
      <c r="AC7" s="218"/>
      <c r="AD7" s="218" t="s">
        <v>221</v>
      </c>
      <c r="AE7" s="218" t="s">
        <v>15</v>
      </c>
      <c r="AG7" s="428" t="s">
        <v>19</v>
      </c>
      <c r="AH7" s="429">
        <v>77</v>
      </c>
    </row>
    <row r="8" spans="2:34" s="71" customFormat="1" ht="15.75">
      <c r="B8" s="219"/>
      <c r="C8" s="218" t="s">
        <v>13</v>
      </c>
      <c r="D8" s="218" t="s">
        <v>210</v>
      </c>
      <c r="E8" s="218" t="s">
        <v>205</v>
      </c>
      <c r="F8" s="218"/>
      <c r="G8" s="218" t="s">
        <v>214</v>
      </c>
      <c r="H8" s="218"/>
      <c r="I8" s="218" t="s">
        <v>228</v>
      </c>
      <c r="J8" s="218" t="s">
        <v>214</v>
      </c>
      <c r="K8" s="218"/>
      <c r="L8" s="218" t="s">
        <v>209</v>
      </c>
      <c r="M8" s="218" t="s">
        <v>218</v>
      </c>
      <c r="N8" s="218" t="s">
        <v>204</v>
      </c>
      <c r="O8" s="218" t="s">
        <v>33</v>
      </c>
      <c r="P8" s="218" t="s">
        <v>208</v>
      </c>
      <c r="Q8" s="218" t="s">
        <v>214</v>
      </c>
      <c r="R8" s="218" t="s">
        <v>208</v>
      </c>
      <c r="S8" s="218" t="s">
        <v>230</v>
      </c>
      <c r="T8" s="218"/>
      <c r="U8" s="218" t="s">
        <v>210</v>
      </c>
      <c r="V8" s="218"/>
      <c r="W8" s="218"/>
      <c r="X8" s="218"/>
      <c r="Y8" s="218" t="s">
        <v>214</v>
      </c>
      <c r="Z8" s="218" t="s">
        <v>218</v>
      </c>
      <c r="AA8" s="218" t="s">
        <v>228</v>
      </c>
      <c r="AB8" s="218" t="s">
        <v>15</v>
      </c>
      <c r="AC8" s="218"/>
      <c r="AD8" s="218" t="s">
        <v>211</v>
      </c>
      <c r="AE8" s="218" t="s">
        <v>35</v>
      </c>
      <c r="AG8" s="428" t="s">
        <v>29</v>
      </c>
      <c r="AH8" s="429">
        <v>75</v>
      </c>
    </row>
    <row r="9" spans="2:34" s="71" customFormat="1" ht="15.75">
      <c r="B9" s="219"/>
      <c r="C9" s="218" t="s">
        <v>205</v>
      </c>
      <c r="D9" s="218" t="s">
        <v>205</v>
      </c>
      <c r="E9" s="218" t="s">
        <v>212</v>
      </c>
      <c r="F9" s="218"/>
      <c r="G9" s="218" t="s">
        <v>211</v>
      </c>
      <c r="H9" s="218"/>
      <c r="I9" s="218" t="s">
        <v>218</v>
      </c>
      <c r="J9" s="218" t="s">
        <v>205</v>
      </c>
      <c r="K9" s="218"/>
      <c r="L9" s="218" t="s">
        <v>205</v>
      </c>
      <c r="M9" s="218" t="s">
        <v>15</v>
      </c>
      <c r="N9" s="218" t="s">
        <v>210</v>
      </c>
      <c r="O9" s="218" t="s">
        <v>214</v>
      </c>
      <c r="P9" s="218" t="s">
        <v>214</v>
      </c>
      <c r="Q9" s="218" t="s">
        <v>219</v>
      </c>
      <c r="R9" s="218" t="s">
        <v>212</v>
      </c>
      <c r="S9" s="218" t="s">
        <v>205</v>
      </c>
      <c r="T9" s="218"/>
      <c r="U9" s="218" t="s">
        <v>212</v>
      </c>
      <c r="V9" s="218"/>
      <c r="W9" s="218"/>
      <c r="X9" s="218"/>
      <c r="Y9" s="218" t="s">
        <v>221</v>
      </c>
      <c r="Z9" s="218" t="s">
        <v>214</v>
      </c>
      <c r="AA9" s="218" t="s">
        <v>214</v>
      </c>
      <c r="AB9" s="218" t="s">
        <v>230</v>
      </c>
      <c r="AC9" s="218"/>
      <c r="AD9" s="218" t="s">
        <v>230</v>
      </c>
      <c r="AE9" s="218" t="s">
        <v>43</v>
      </c>
      <c r="AG9" s="428" t="s">
        <v>37</v>
      </c>
      <c r="AH9" s="429">
        <v>65</v>
      </c>
    </row>
    <row r="10" spans="2:34" s="71" customFormat="1" ht="15.75">
      <c r="B10" s="219"/>
      <c r="C10" s="218" t="s">
        <v>206</v>
      </c>
      <c r="D10" s="218" t="s">
        <v>15</v>
      </c>
      <c r="E10" s="218" t="s">
        <v>213</v>
      </c>
      <c r="F10" s="218"/>
      <c r="G10" s="218" t="s">
        <v>206</v>
      </c>
      <c r="H10" s="218"/>
      <c r="I10" s="218" t="s">
        <v>13</v>
      </c>
      <c r="J10" s="218" t="s">
        <v>230</v>
      </c>
      <c r="K10" s="218"/>
      <c r="L10" s="218" t="s">
        <v>230</v>
      </c>
      <c r="M10" s="218" t="s">
        <v>211</v>
      </c>
      <c r="N10" s="218" t="s">
        <v>205</v>
      </c>
      <c r="O10" s="218"/>
      <c r="P10" s="218" t="s">
        <v>219</v>
      </c>
      <c r="Q10" s="218"/>
      <c r="R10" s="218"/>
      <c r="S10" s="218"/>
      <c r="T10" s="218"/>
      <c r="U10" s="218"/>
      <c r="V10" s="218"/>
      <c r="W10" s="218"/>
      <c r="X10" s="218"/>
      <c r="Y10" s="218" t="s">
        <v>213</v>
      </c>
      <c r="Z10" s="218"/>
      <c r="AA10" s="218" t="s">
        <v>208</v>
      </c>
      <c r="AB10" s="218" t="s">
        <v>231</v>
      </c>
      <c r="AC10" s="218"/>
      <c r="AD10" s="218"/>
      <c r="AE10" s="218"/>
      <c r="AG10" s="428" t="s">
        <v>39</v>
      </c>
      <c r="AH10" s="429">
        <v>55</v>
      </c>
    </row>
    <row r="11" spans="2:34" ht="15.75">
      <c r="B11" s="214">
        <v>0.6875</v>
      </c>
      <c r="C11" s="215" t="s">
        <v>207</v>
      </c>
      <c r="D11" s="215" t="s">
        <v>202</v>
      </c>
      <c r="E11" s="215" t="s">
        <v>27</v>
      </c>
      <c r="F11" s="215"/>
      <c r="G11" s="215" t="s">
        <v>204</v>
      </c>
      <c r="H11" s="215"/>
      <c r="I11" s="215" t="s">
        <v>207</v>
      </c>
      <c r="J11" s="215" t="s">
        <v>13</v>
      </c>
      <c r="K11" s="215" t="s">
        <v>202</v>
      </c>
      <c r="L11" s="215" t="s">
        <v>208</v>
      </c>
      <c r="M11" s="215" t="s">
        <v>230</v>
      </c>
      <c r="N11" s="215" t="s">
        <v>231</v>
      </c>
      <c r="O11" s="215" t="s">
        <v>27</v>
      </c>
      <c r="P11" s="215" t="s">
        <v>203</v>
      </c>
      <c r="Q11" s="215" t="s">
        <v>203</v>
      </c>
      <c r="R11" s="215" t="s">
        <v>205</v>
      </c>
      <c r="S11" s="215" t="s">
        <v>204</v>
      </c>
      <c r="T11" s="215"/>
      <c r="U11" s="215" t="s">
        <v>202</v>
      </c>
      <c r="V11" s="215"/>
      <c r="W11" s="215"/>
      <c r="X11" s="215"/>
      <c r="Y11" s="215" t="s">
        <v>15</v>
      </c>
      <c r="Z11" s="215" t="s">
        <v>212</v>
      </c>
      <c r="AA11" s="215" t="s">
        <v>211</v>
      </c>
      <c r="AB11" s="215" t="s">
        <v>218</v>
      </c>
      <c r="AC11" s="215"/>
      <c r="AD11" s="215" t="s">
        <v>208</v>
      </c>
      <c r="AE11" s="215" t="str">
        <f>AG10</f>
        <v>Karsten V</v>
      </c>
      <c r="AG11" s="428" t="s">
        <v>43</v>
      </c>
      <c r="AH11" s="429">
        <v>53</v>
      </c>
    </row>
    <row r="12" spans="2:34" ht="15.75">
      <c r="B12" s="216"/>
      <c r="C12" s="215" t="s">
        <v>208</v>
      </c>
      <c r="D12" s="215" t="s">
        <v>221</v>
      </c>
      <c r="E12" s="215" t="s">
        <v>25</v>
      </c>
      <c r="F12" s="215"/>
      <c r="G12" s="215" t="s">
        <v>215</v>
      </c>
      <c r="H12" s="215"/>
      <c r="I12" s="215" t="s">
        <v>211</v>
      </c>
      <c r="J12" s="215" t="s">
        <v>219</v>
      </c>
      <c r="K12" s="215"/>
      <c r="L12" s="215" t="s">
        <v>214</v>
      </c>
      <c r="M12" s="215" t="s">
        <v>205</v>
      </c>
      <c r="N12" s="215" t="s">
        <v>214</v>
      </c>
      <c r="O12" s="215" t="s">
        <v>39</v>
      </c>
      <c r="P12" s="215" t="s">
        <v>218</v>
      </c>
      <c r="Q12" s="215" t="s">
        <v>265</v>
      </c>
      <c r="R12" s="215" t="s">
        <v>214</v>
      </c>
      <c r="S12" s="215" t="s">
        <v>203</v>
      </c>
      <c r="T12" s="215"/>
      <c r="U12" s="215" t="s">
        <v>231</v>
      </c>
      <c r="V12" s="215"/>
      <c r="W12" s="215"/>
      <c r="X12" s="215"/>
      <c r="Y12" s="215" t="s">
        <v>219</v>
      </c>
      <c r="Z12" s="215" t="s">
        <v>205</v>
      </c>
      <c r="AA12" s="215" t="s">
        <v>207</v>
      </c>
      <c r="AB12" s="215" t="s">
        <v>207</v>
      </c>
      <c r="AC12" s="215"/>
      <c r="AD12" s="215" t="s">
        <v>205</v>
      </c>
      <c r="AE12" s="215" t="s">
        <v>37</v>
      </c>
      <c r="AG12" s="428" t="s">
        <v>35</v>
      </c>
      <c r="AH12" s="429">
        <v>48</v>
      </c>
    </row>
    <row r="13" spans="2:34" ht="15.75">
      <c r="B13" s="216"/>
      <c r="C13" s="215" t="s">
        <v>209</v>
      </c>
      <c r="D13" s="215" t="s">
        <v>206</v>
      </c>
      <c r="E13" s="215" t="s">
        <v>220</v>
      </c>
      <c r="F13" s="215"/>
      <c r="G13" s="215" t="s">
        <v>231</v>
      </c>
      <c r="H13" s="215"/>
      <c r="I13" s="215" t="s">
        <v>214</v>
      </c>
      <c r="J13" s="215" t="s">
        <v>212</v>
      </c>
      <c r="K13" s="215"/>
      <c r="L13" s="215" t="s">
        <v>219</v>
      </c>
      <c r="M13" s="215" t="s">
        <v>210</v>
      </c>
      <c r="N13" s="215" t="s">
        <v>212</v>
      </c>
      <c r="O13" s="215" t="s">
        <v>228</v>
      </c>
      <c r="P13" s="215" t="s">
        <v>215</v>
      </c>
      <c r="Q13" s="215" t="s">
        <v>212</v>
      </c>
      <c r="R13" s="215" t="s">
        <v>230</v>
      </c>
      <c r="S13" s="215"/>
      <c r="T13" s="215"/>
      <c r="U13" s="215" t="s">
        <v>211</v>
      </c>
      <c r="V13" s="215"/>
      <c r="W13" s="215"/>
      <c r="X13" s="215"/>
      <c r="Y13" s="215" t="s">
        <v>206</v>
      </c>
      <c r="Z13" s="215" t="s">
        <v>207</v>
      </c>
      <c r="AA13" s="215" t="s">
        <v>206</v>
      </c>
      <c r="AB13" s="215" t="s">
        <v>228</v>
      </c>
      <c r="AC13" s="215"/>
      <c r="AD13" s="215" t="s">
        <v>206</v>
      </c>
      <c r="AE13" s="215" t="s">
        <v>29</v>
      </c>
      <c r="AG13" s="428" t="s">
        <v>15</v>
      </c>
      <c r="AH13" s="429">
        <v>48</v>
      </c>
    </row>
    <row r="14" spans="2:34" ht="15.75">
      <c r="B14" s="216"/>
      <c r="C14" s="215" t="s">
        <v>15</v>
      </c>
      <c r="D14" s="215" t="s">
        <v>207</v>
      </c>
      <c r="E14" s="215" t="s">
        <v>230</v>
      </c>
      <c r="F14" s="215"/>
      <c r="G14" s="215"/>
      <c r="H14" s="215"/>
      <c r="I14" s="215"/>
      <c r="J14" s="215" t="s">
        <v>206</v>
      </c>
      <c r="K14" s="215"/>
      <c r="L14" s="215" t="s">
        <v>213</v>
      </c>
      <c r="M14" s="215" t="s">
        <v>228</v>
      </c>
      <c r="N14" s="215" t="s">
        <v>207</v>
      </c>
      <c r="O14" s="215" t="s">
        <v>221</v>
      </c>
      <c r="P14" s="215" t="s">
        <v>207</v>
      </c>
      <c r="Q14" s="215"/>
      <c r="R14" s="215"/>
      <c r="S14" s="215"/>
      <c r="T14" s="215"/>
      <c r="U14" s="215" t="s">
        <v>214</v>
      </c>
      <c r="V14" s="215"/>
      <c r="W14" s="215"/>
      <c r="X14" s="215"/>
      <c r="Y14" s="215" t="s">
        <v>220</v>
      </c>
      <c r="Z14" s="215"/>
      <c r="AA14" s="215" t="s">
        <v>215</v>
      </c>
      <c r="AB14" s="215" t="s">
        <v>221</v>
      </c>
      <c r="AC14" s="215"/>
      <c r="AD14" s="215" t="s">
        <v>214</v>
      </c>
      <c r="AE14" s="215" t="s">
        <v>19</v>
      </c>
      <c r="AG14" s="428" t="s">
        <v>47</v>
      </c>
      <c r="AH14" s="429">
        <v>43</v>
      </c>
    </row>
    <row r="15" spans="2:34" s="71" customFormat="1" ht="15.75">
      <c r="B15" s="217">
        <v>0.6979166666666666</v>
      </c>
      <c r="C15" s="218" t="s">
        <v>210</v>
      </c>
      <c r="D15" s="218" t="s">
        <v>27</v>
      </c>
      <c r="E15" s="218" t="s">
        <v>215</v>
      </c>
      <c r="F15" s="218"/>
      <c r="G15" s="218" t="s">
        <v>209</v>
      </c>
      <c r="H15" s="218"/>
      <c r="I15" s="218" t="s">
        <v>205</v>
      </c>
      <c r="J15" s="218" t="s">
        <v>204</v>
      </c>
      <c r="K15" s="218" t="s">
        <v>215</v>
      </c>
      <c r="L15" s="218" t="s">
        <v>27</v>
      </c>
      <c r="M15" s="218" t="s">
        <v>215</v>
      </c>
      <c r="N15" s="218" t="s">
        <v>208</v>
      </c>
      <c r="O15" s="218" t="s">
        <v>231</v>
      </c>
      <c r="P15" s="218" t="s">
        <v>211</v>
      </c>
      <c r="Q15" s="218" t="s">
        <v>211</v>
      </c>
      <c r="R15" s="218" t="s">
        <v>204</v>
      </c>
      <c r="S15" s="218"/>
      <c r="T15" s="218"/>
      <c r="U15" s="218" t="s">
        <v>219</v>
      </c>
      <c r="V15" s="218"/>
      <c r="W15" s="218"/>
      <c r="X15" s="218"/>
      <c r="Y15" s="218" t="s">
        <v>231</v>
      </c>
      <c r="Z15" s="218" t="s">
        <v>206</v>
      </c>
      <c r="AA15" s="218" t="s">
        <v>210</v>
      </c>
      <c r="AB15" s="218" t="s">
        <v>204</v>
      </c>
      <c r="AC15" s="218"/>
      <c r="AD15" s="218" t="s">
        <v>204</v>
      </c>
      <c r="AE15" s="218" t="s">
        <v>49</v>
      </c>
      <c r="AG15" s="428" t="s">
        <v>41</v>
      </c>
      <c r="AH15" s="429">
        <v>34</v>
      </c>
    </row>
    <row r="16" spans="2:34" s="71" customFormat="1" ht="15.75">
      <c r="B16" s="219"/>
      <c r="C16" s="218" t="s">
        <v>213</v>
      </c>
      <c r="D16" s="218" t="s">
        <v>211</v>
      </c>
      <c r="E16" s="218" t="s">
        <v>202</v>
      </c>
      <c r="F16" s="218"/>
      <c r="G16" s="218" t="s">
        <v>202</v>
      </c>
      <c r="H16" s="218"/>
      <c r="I16" s="218" t="s">
        <v>231</v>
      </c>
      <c r="J16" s="218" t="s">
        <v>202</v>
      </c>
      <c r="K16" s="218" t="s">
        <v>231</v>
      </c>
      <c r="L16" s="218" t="s">
        <v>218</v>
      </c>
      <c r="M16" s="218" t="s">
        <v>208</v>
      </c>
      <c r="N16" s="218" t="s">
        <v>259</v>
      </c>
      <c r="O16" s="218" t="s">
        <v>202</v>
      </c>
      <c r="P16" s="218" t="s">
        <v>228</v>
      </c>
      <c r="Q16" s="218" t="s">
        <v>213</v>
      </c>
      <c r="R16" s="218" t="s">
        <v>203</v>
      </c>
      <c r="S16" s="218"/>
      <c r="T16" s="218"/>
      <c r="U16" s="218" t="s">
        <v>221</v>
      </c>
      <c r="V16" s="218"/>
      <c r="W16" s="218"/>
      <c r="X16" s="218"/>
      <c r="Y16" s="218" t="s">
        <v>27</v>
      </c>
      <c r="Z16" s="218" t="s">
        <v>210</v>
      </c>
      <c r="AA16" s="218" t="s">
        <v>221</v>
      </c>
      <c r="AB16" s="218" t="s">
        <v>214</v>
      </c>
      <c r="AC16" s="218"/>
      <c r="AD16" s="218" t="s">
        <v>215</v>
      </c>
      <c r="AE16" s="218" t="s">
        <v>13</v>
      </c>
      <c r="AG16" s="431" t="s">
        <v>25</v>
      </c>
      <c r="AH16" s="429">
        <v>25</v>
      </c>
    </row>
    <row r="17" spans="2:34" s="71" customFormat="1" ht="15.75">
      <c r="B17" s="219"/>
      <c r="C17" s="218" t="s">
        <v>214</v>
      </c>
      <c r="D17" s="218" t="s">
        <v>25</v>
      </c>
      <c r="E17" s="218" t="s">
        <v>13</v>
      </c>
      <c r="F17" s="218"/>
      <c r="G17" s="218" t="s">
        <v>208</v>
      </c>
      <c r="H17" s="218"/>
      <c r="I17" s="218" t="s">
        <v>206</v>
      </c>
      <c r="J17" s="218" t="s">
        <v>218</v>
      </c>
      <c r="K17" s="218"/>
      <c r="L17" s="218" t="s">
        <v>13</v>
      </c>
      <c r="M17" s="218" t="s">
        <v>214</v>
      </c>
      <c r="N17" s="218" t="s">
        <v>202</v>
      </c>
      <c r="O17" s="218" t="s">
        <v>207</v>
      </c>
      <c r="P17" s="218" t="s">
        <v>15</v>
      </c>
      <c r="Q17" s="218" t="s">
        <v>207</v>
      </c>
      <c r="R17" s="218" t="s">
        <v>231</v>
      </c>
      <c r="S17" s="218"/>
      <c r="T17" s="218"/>
      <c r="U17" s="218" t="s">
        <v>230</v>
      </c>
      <c r="V17" s="218"/>
      <c r="W17" s="218"/>
      <c r="X17" s="218"/>
      <c r="Y17" s="218" t="s">
        <v>218</v>
      </c>
      <c r="Z17" s="218" t="s">
        <v>209</v>
      </c>
      <c r="AA17" s="218" t="s">
        <v>205</v>
      </c>
      <c r="AB17" s="218" t="s">
        <v>219</v>
      </c>
      <c r="AC17" s="218"/>
      <c r="AD17" s="218" t="s">
        <v>13</v>
      </c>
      <c r="AE17" s="218" t="s">
        <v>33</v>
      </c>
      <c r="AG17" s="428"/>
      <c r="AH17" s="429"/>
    </row>
    <row r="18" spans="2:34" s="71" customFormat="1" ht="15.75">
      <c r="B18" s="219"/>
      <c r="C18" s="218"/>
      <c r="D18" s="218" t="s">
        <v>213</v>
      </c>
      <c r="E18" s="218"/>
      <c r="F18" s="218"/>
      <c r="G18" s="218"/>
      <c r="H18" s="218"/>
      <c r="I18" s="218" t="s">
        <v>212</v>
      </c>
      <c r="J18" s="218"/>
      <c r="K18" s="218"/>
      <c r="L18" s="218"/>
      <c r="M18" s="218"/>
      <c r="N18" s="218"/>
      <c r="O18" s="218" t="s">
        <v>205</v>
      </c>
      <c r="P18" s="218" t="s">
        <v>264</v>
      </c>
      <c r="Q18" s="218"/>
      <c r="R18" s="218" t="s">
        <v>202</v>
      </c>
      <c r="S18" s="218"/>
      <c r="T18" s="218"/>
      <c r="U18" s="218"/>
      <c r="V18" s="218"/>
      <c r="W18" s="218"/>
      <c r="X18" s="218"/>
      <c r="Y18" s="218"/>
      <c r="Z18" s="218"/>
      <c r="AA18" s="218" t="s">
        <v>27</v>
      </c>
      <c r="AB18" s="218" t="s">
        <v>212</v>
      </c>
      <c r="AC18" s="218"/>
      <c r="AD18" s="218"/>
      <c r="AE18" s="218" t="s">
        <v>31</v>
      </c>
      <c r="AG18" s="428"/>
      <c r="AH18" s="429"/>
    </row>
    <row r="19" spans="2:34" ht="15.75">
      <c r="B19" s="214">
        <v>0.7083333333333334</v>
      </c>
      <c r="C19" s="215" t="s">
        <v>202</v>
      </c>
      <c r="D19" s="215" t="s">
        <v>215</v>
      </c>
      <c r="E19" s="215" t="s">
        <v>231</v>
      </c>
      <c r="F19" s="215"/>
      <c r="G19" s="215" t="s">
        <v>219</v>
      </c>
      <c r="H19" s="215"/>
      <c r="I19" s="215" t="s">
        <v>202</v>
      </c>
      <c r="J19" s="215" t="s">
        <v>203</v>
      </c>
      <c r="K19" s="215"/>
      <c r="L19" s="215" t="s">
        <v>207</v>
      </c>
      <c r="M19" s="215" t="s">
        <v>231</v>
      </c>
      <c r="N19" s="215" t="s">
        <v>27</v>
      </c>
      <c r="O19" s="215" t="s">
        <v>215</v>
      </c>
      <c r="P19" s="215" t="s">
        <v>213</v>
      </c>
      <c r="Q19" s="215" t="s">
        <v>202</v>
      </c>
      <c r="R19" s="215"/>
      <c r="S19" s="215"/>
      <c r="T19" s="215"/>
      <c r="U19" s="215" t="s">
        <v>204</v>
      </c>
      <c r="V19" s="215"/>
      <c r="W19" s="215" t="s">
        <v>204</v>
      </c>
      <c r="X19" s="215"/>
      <c r="Y19" s="215" t="s">
        <v>204</v>
      </c>
      <c r="Z19" s="215" t="s">
        <v>204</v>
      </c>
      <c r="AA19" s="215" t="s">
        <v>204</v>
      </c>
      <c r="AB19" s="215" t="s">
        <v>13</v>
      </c>
      <c r="AC19" s="215"/>
      <c r="AD19" s="215"/>
      <c r="AE19" s="215"/>
      <c r="AG19" s="428"/>
      <c r="AH19" s="429"/>
    </row>
    <row r="20" spans="2:34" ht="15.75">
      <c r="B20" s="216"/>
      <c r="C20" s="215" t="s">
        <v>215</v>
      </c>
      <c r="D20" s="215" t="s">
        <v>219</v>
      </c>
      <c r="E20" s="215" t="s">
        <v>219</v>
      </c>
      <c r="F20" s="215"/>
      <c r="G20" s="215" t="s">
        <v>218</v>
      </c>
      <c r="H20" s="215"/>
      <c r="I20" s="215" t="s">
        <v>204</v>
      </c>
      <c r="J20" s="215" t="s">
        <v>231</v>
      </c>
      <c r="K20" s="215"/>
      <c r="L20" s="215" t="s">
        <v>25</v>
      </c>
      <c r="M20" s="215" t="s">
        <v>25</v>
      </c>
      <c r="N20" s="215" t="s">
        <v>215</v>
      </c>
      <c r="O20" s="215" t="s">
        <v>210</v>
      </c>
      <c r="P20" s="215" t="s">
        <v>231</v>
      </c>
      <c r="Q20" s="215" t="s">
        <v>215</v>
      </c>
      <c r="R20" s="215"/>
      <c r="S20" s="215"/>
      <c r="T20" s="215"/>
      <c r="U20" s="215" t="s">
        <v>218</v>
      </c>
      <c r="V20" s="215"/>
      <c r="W20" s="215" t="s">
        <v>13</v>
      </c>
      <c r="X20" s="215"/>
      <c r="Y20" s="215" t="s">
        <v>215</v>
      </c>
      <c r="Z20" s="215" t="s">
        <v>13</v>
      </c>
      <c r="AA20" s="215" t="s">
        <v>13</v>
      </c>
      <c r="AB20" s="215" t="s">
        <v>27</v>
      </c>
      <c r="AC20" s="215"/>
      <c r="AD20" s="215"/>
      <c r="AE20" s="215"/>
      <c r="AG20" s="428"/>
      <c r="AH20" s="429"/>
    </row>
    <row r="21" spans="2:34" ht="15.75">
      <c r="B21" s="216"/>
      <c r="C21" s="215" t="s">
        <v>203</v>
      </c>
      <c r="D21" s="215" t="s">
        <v>220</v>
      </c>
      <c r="E21" s="215" t="s">
        <v>218</v>
      </c>
      <c r="F21" s="215"/>
      <c r="G21" s="215" t="s">
        <v>228</v>
      </c>
      <c r="H21" s="215"/>
      <c r="I21" s="215" t="s">
        <v>27</v>
      </c>
      <c r="J21" s="215" t="s">
        <v>215</v>
      </c>
      <c r="K21" s="215" t="s">
        <v>209</v>
      </c>
      <c r="L21" s="215" t="s">
        <v>212</v>
      </c>
      <c r="M21" s="215" t="s">
        <v>27</v>
      </c>
      <c r="N21" s="215" t="s">
        <v>218</v>
      </c>
      <c r="O21" s="215" t="s">
        <v>211</v>
      </c>
      <c r="P21" s="215" t="s">
        <v>202</v>
      </c>
      <c r="Q21" s="215"/>
      <c r="R21" s="215"/>
      <c r="S21" s="215"/>
      <c r="T21" s="215"/>
      <c r="U21" s="215" t="s">
        <v>215</v>
      </c>
      <c r="V21" s="215"/>
      <c r="W21" s="215" t="s">
        <v>279</v>
      </c>
      <c r="X21" s="215"/>
      <c r="Y21" s="215" t="s">
        <v>13</v>
      </c>
      <c r="Z21" s="215" t="s">
        <v>230</v>
      </c>
      <c r="AA21" s="215" t="s">
        <v>209</v>
      </c>
      <c r="AB21" s="215" t="s">
        <v>215</v>
      </c>
      <c r="AC21" s="215"/>
      <c r="AD21" s="215"/>
      <c r="AE21" s="215"/>
      <c r="AG21" s="428"/>
      <c r="AH21" s="429"/>
    </row>
    <row r="22" spans="2:34" ht="15.75">
      <c r="B22" s="216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 t="s">
        <v>13</v>
      </c>
      <c r="O22" s="215"/>
      <c r="P22" s="215" t="s">
        <v>212</v>
      </c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G22" s="428"/>
      <c r="AH22" s="429"/>
    </row>
    <row r="23" spans="2:34" ht="15.75">
      <c r="B23" s="217">
        <v>0.71875</v>
      </c>
      <c r="C23" s="218"/>
      <c r="D23" s="218"/>
      <c r="E23" s="218" t="s">
        <v>211</v>
      </c>
      <c r="F23" s="218"/>
      <c r="G23" s="218"/>
      <c r="H23" s="218"/>
      <c r="I23" s="218"/>
      <c r="J23" s="218"/>
      <c r="K23" s="218"/>
      <c r="L23" s="218"/>
      <c r="M23" s="218" t="s">
        <v>202</v>
      </c>
      <c r="N23" s="218"/>
      <c r="O23" s="218"/>
      <c r="P23" s="218"/>
      <c r="Q23" s="218"/>
      <c r="R23" s="218"/>
      <c r="S23" s="218"/>
      <c r="T23" s="218"/>
      <c r="U23" s="218" t="s">
        <v>207</v>
      </c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G23" s="428"/>
      <c r="AH23" s="429"/>
    </row>
    <row r="24" spans="2:34" ht="15.75">
      <c r="B24" s="219"/>
      <c r="C24" s="218"/>
      <c r="D24" s="218"/>
      <c r="E24" s="218" t="s">
        <v>214</v>
      </c>
      <c r="F24" s="218"/>
      <c r="G24" s="218"/>
      <c r="H24" s="218"/>
      <c r="I24" s="218"/>
      <c r="J24" s="218"/>
      <c r="K24" s="218"/>
      <c r="L24" s="218"/>
      <c r="M24" s="218" t="s">
        <v>212</v>
      </c>
      <c r="N24" s="218"/>
      <c r="O24" s="218"/>
      <c r="P24" s="218"/>
      <c r="Q24" s="218"/>
      <c r="R24" s="218"/>
      <c r="S24" s="218"/>
      <c r="T24" s="218"/>
      <c r="U24" s="218" t="s">
        <v>27</v>
      </c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G24" s="428"/>
      <c r="AH24" s="429"/>
    </row>
    <row r="25" spans="2:34" ht="15.75">
      <c r="B25" s="219"/>
      <c r="C25" s="218"/>
      <c r="D25" s="218"/>
      <c r="E25" s="218" t="s">
        <v>221</v>
      </c>
      <c r="F25" s="218"/>
      <c r="G25" s="218"/>
      <c r="H25" s="218"/>
      <c r="I25" s="218"/>
      <c r="J25" s="218"/>
      <c r="K25" s="218"/>
      <c r="L25" s="218"/>
      <c r="M25" s="218" t="s">
        <v>13</v>
      </c>
      <c r="N25" s="218"/>
      <c r="O25" s="218"/>
      <c r="P25" s="218"/>
      <c r="Q25" s="218"/>
      <c r="R25" s="218"/>
      <c r="S25" s="218"/>
      <c r="T25" s="218"/>
      <c r="U25" s="218" t="s">
        <v>264</v>
      </c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G25" s="428"/>
      <c r="AH25" s="429"/>
    </row>
    <row r="26" spans="2:34" ht="15.75">
      <c r="B26" s="219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G26" s="428"/>
      <c r="AH26" s="429"/>
    </row>
    <row r="27" spans="2:34" s="71" customFormat="1" ht="12.75">
      <c r="B27" s="166" t="s">
        <v>154</v>
      </c>
      <c r="C27" s="166">
        <f aca="true" t="shared" si="0" ref="C27:W27">COUNTA(C3:C26)</f>
        <v>17</v>
      </c>
      <c r="D27" s="166">
        <f t="shared" si="0"/>
        <v>19</v>
      </c>
      <c r="E27" s="166">
        <f t="shared" si="0"/>
        <v>21</v>
      </c>
      <c r="F27" s="166">
        <f t="shared" si="0"/>
        <v>0</v>
      </c>
      <c r="G27" s="166">
        <f t="shared" si="0"/>
        <v>16</v>
      </c>
      <c r="H27" s="166">
        <f t="shared" si="0"/>
        <v>0</v>
      </c>
      <c r="I27" s="166">
        <f t="shared" si="0"/>
        <v>18</v>
      </c>
      <c r="J27" s="166">
        <f t="shared" si="0"/>
        <v>18</v>
      </c>
      <c r="K27" s="166">
        <f t="shared" si="0"/>
        <v>4</v>
      </c>
      <c r="L27" s="166">
        <f t="shared" si="0"/>
        <v>17</v>
      </c>
      <c r="M27" s="166">
        <f t="shared" si="0"/>
        <v>21</v>
      </c>
      <c r="N27" s="166">
        <f t="shared" si="0"/>
        <v>19</v>
      </c>
      <c r="O27" s="166">
        <f t="shared" si="0"/>
        <v>17</v>
      </c>
      <c r="P27" s="166">
        <f t="shared" si="0"/>
        <v>20</v>
      </c>
      <c r="Q27" s="166">
        <f t="shared" si="0"/>
        <v>14</v>
      </c>
      <c r="R27" s="166">
        <f t="shared" si="0"/>
        <v>13</v>
      </c>
      <c r="S27" s="166">
        <f t="shared" si="0"/>
        <v>8</v>
      </c>
      <c r="T27" s="166">
        <f t="shared" si="0"/>
        <v>0</v>
      </c>
      <c r="U27" s="166">
        <f t="shared" si="0"/>
        <v>20</v>
      </c>
      <c r="V27" s="166">
        <f t="shared" si="0"/>
        <v>0</v>
      </c>
      <c r="W27" s="166">
        <f t="shared" si="0"/>
        <v>3</v>
      </c>
      <c r="X27" s="166">
        <f aca="true" t="shared" si="1" ref="X27:AD27">COUNTA(X3:X26)</f>
        <v>0</v>
      </c>
      <c r="Y27" s="166">
        <f t="shared" si="1"/>
        <v>18</v>
      </c>
      <c r="Z27" s="166">
        <f t="shared" si="1"/>
        <v>16</v>
      </c>
      <c r="AA27" s="166">
        <f t="shared" si="1"/>
        <v>19</v>
      </c>
      <c r="AB27" s="166">
        <f t="shared" si="1"/>
        <v>19</v>
      </c>
      <c r="AC27" s="166">
        <f t="shared" si="1"/>
        <v>0</v>
      </c>
      <c r="AD27" s="166">
        <f t="shared" si="1"/>
        <v>14</v>
      </c>
      <c r="AE27" s="166">
        <f>COUNTA(AE3:AE26)</f>
        <v>14</v>
      </c>
      <c r="AG27" s="166">
        <f>COUNTA(AG3:AG26)</f>
        <v>14</v>
      </c>
      <c r="AH27" s="378"/>
    </row>
    <row r="28" s="71" customFormat="1" ht="12.75"/>
    <row r="29" s="71" customFormat="1" ht="12.75"/>
    <row r="30" ht="12.75">
      <c r="J30" s="71"/>
    </row>
    <row r="31" spans="8:16" ht="12.75">
      <c r="H31" s="71"/>
      <c r="I31" s="270"/>
      <c r="J31" s="270"/>
      <c r="K31" s="270"/>
      <c r="L31" s="270"/>
      <c r="M31" s="269"/>
      <c r="N31" s="269"/>
      <c r="O31" s="269"/>
      <c r="P31" s="270"/>
    </row>
    <row r="32" spans="12:15" ht="13.5">
      <c r="L32" s="271"/>
      <c r="M32" s="316"/>
      <c r="N32" s="104"/>
      <c r="O32" s="313"/>
    </row>
    <row r="33" spans="12:15" ht="13.5">
      <c r="L33" s="271"/>
      <c r="M33" s="316"/>
      <c r="N33" s="314"/>
      <c r="O33" s="313"/>
    </row>
    <row r="34" spans="12:15" ht="13.5">
      <c r="L34" s="315"/>
      <c r="M34" s="316"/>
      <c r="N34" s="104"/>
      <c r="O34" s="313"/>
    </row>
    <row r="35" spans="12:15" ht="13.5">
      <c r="L35" s="315"/>
      <c r="M35" s="316"/>
      <c r="N35" s="314"/>
      <c r="O35" s="313"/>
    </row>
    <row r="36" spans="12:15" ht="13.5">
      <c r="L36" s="271"/>
      <c r="M36" s="316"/>
      <c r="N36" s="104"/>
      <c r="O36" s="313"/>
    </row>
    <row r="37" spans="12:15" ht="16.5" customHeight="1">
      <c r="L37" s="271"/>
      <c r="M37" s="316"/>
      <c r="N37" s="104"/>
      <c r="O37" s="313"/>
    </row>
    <row r="38" spans="12:15" ht="13.5">
      <c r="L38" s="271"/>
      <c r="M38" s="316"/>
      <c r="N38" s="104"/>
      <c r="O38" s="313"/>
    </row>
    <row r="39" spans="12:15" ht="13.5">
      <c r="L39" s="271"/>
      <c r="M39" s="316"/>
      <c r="N39" s="314"/>
      <c r="O39" s="313"/>
    </row>
    <row r="40" spans="12:15" ht="13.5">
      <c r="L40" s="271"/>
      <c r="M40" s="316"/>
      <c r="N40" s="104"/>
      <c r="O40" s="313"/>
    </row>
    <row r="41" spans="12:15" ht="13.5">
      <c r="L41" s="271"/>
      <c r="M41" s="316"/>
      <c r="N41" s="314"/>
      <c r="O41" s="313"/>
    </row>
    <row r="42" spans="12:15" ht="15" customHeight="1">
      <c r="L42" s="271"/>
      <c r="M42" s="316"/>
      <c r="N42" s="104"/>
      <c r="O42" s="313"/>
    </row>
    <row r="43" spans="12:15" ht="15" customHeight="1">
      <c r="L43" s="271"/>
      <c r="M43" s="316"/>
      <c r="N43" s="104"/>
      <c r="O43" s="313"/>
    </row>
    <row r="44" spans="12:15" ht="13.5">
      <c r="L44" s="271"/>
      <c r="M44" s="316"/>
      <c r="N44" s="314"/>
      <c r="O44" s="313"/>
    </row>
    <row r="45" spans="12:15" ht="13.5">
      <c r="L45" s="271"/>
      <c r="M45" s="316"/>
      <c r="N45" s="104"/>
      <c r="O45" s="313"/>
    </row>
    <row r="46" spans="12:15" ht="13.5">
      <c r="L46" s="271"/>
      <c r="M46" s="316"/>
      <c r="N46" s="314"/>
      <c r="O46" s="313"/>
    </row>
    <row r="47" spans="12:15" ht="13.5">
      <c r="L47" s="315"/>
      <c r="M47" s="316"/>
      <c r="N47" s="104"/>
      <c r="O47" s="313"/>
    </row>
    <row r="48" spans="12:15" ht="13.5">
      <c r="L48" s="315"/>
      <c r="M48" s="316"/>
      <c r="N48" s="314"/>
      <c r="O48" s="313"/>
    </row>
    <row r="49" spans="12:15" ht="13.5">
      <c r="L49" s="271"/>
      <c r="M49" s="317"/>
      <c r="N49" s="104"/>
      <c r="O49" s="313"/>
    </row>
    <row r="50" spans="12:15" ht="13.5">
      <c r="L50" s="271"/>
      <c r="M50" s="317"/>
      <c r="N50" s="314"/>
      <c r="O50" s="313"/>
    </row>
    <row r="51" spans="12:15" ht="13.5">
      <c r="L51" s="271"/>
      <c r="M51" s="317"/>
      <c r="N51" s="104"/>
      <c r="O51" s="313"/>
    </row>
    <row r="52" spans="12:15" ht="12.75" customHeight="1">
      <c r="L52" s="271"/>
      <c r="M52" s="317"/>
      <c r="N52" s="314"/>
      <c r="O52" s="313"/>
    </row>
    <row r="53" spans="12:15" ht="12.75" customHeight="1">
      <c r="L53" s="271"/>
      <c r="M53" s="317"/>
      <c r="N53" s="104"/>
      <c r="O53" s="313"/>
    </row>
    <row r="54" spans="12:15" ht="13.5">
      <c r="L54" s="271"/>
      <c r="M54" s="317"/>
      <c r="N54" s="314"/>
      <c r="O54" s="313"/>
    </row>
    <row r="55" spans="12:15" ht="12.75">
      <c r="L55" s="271"/>
      <c r="M55" s="271"/>
      <c r="N55" s="271"/>
      <c r="O55" s="271"/>
    </row>
    <row r="56" spans="12:15" ht="12.75">
      <c r="L56" s="271"/>
      <c r="M56" s="271"/>
      <c r="N56" s="271"/>
      <c r="O56" s="27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8"/>
  <sheetViews>
    <sheetView zoomScalePageLayoutView="0" workbookViewId="0" topLeftCell="A1">
      <selection activeCell="C3" sqref="C3:C10"/>
    </sheetView>
  </sheetViews>
  <sheetFormatPr defaultColWidth="9.140625" defaultRowHeight="12.75"/>
  <cols>
    <col min="1" max="1" width="2.140625" style="15" customWidth="1"/>
    <col min="2" max="2" width="25.00390625" style="15" customWidth="1"/>
    <col min="3" max="3" width="15.140625" style="37" customWidth="1"/>
    <col min="4" max="18" width="3.28125" style="37" customWidth="1"/>
    <col min="19" max="33" width="3.28125" style="17" customWidth="1"/>
    <col min="34" max="35" width="3.28125" style="15" customWidth="1"/>
    <col min="36" max="16384" width="9.140625" style="15" customWidth="1"/>
  </cols>
  <sheetData>
    <row r="1" spans="3:35" ht="21.75" customHeight="1">
      <c r="C1" s="18" t="s">
        <v>166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2:35" s="20" customFormat="1" ht="68.25" customHeight="1">
      <c r="B2" s="21"/>
      <c r="C2" s="51" t="s">
        <v>167</v>
      </c>
      <c r="D2" s="187">
        <v>42665</v>
      </c>
      <c r="E2" s="187">
        <v>42658</v>
      </c>
      <c r="F2" s="187">
        <v>42649</v>
      </c>
      <c r="G2" s="187">
        <v>42642</v>
      </c>
      <c r="H2" s="187">
        <v>42635</v>
      </c>
      <c r="I2" s="187">
        <v>42628</v>
      </c>
      <c r="J2" s="187">
        <v>42621</v>
      </c>
      <c r="K2" s="187">
        <v>42614</v>
      </c>
      <c r="L2" s="187">
        <v>42607</v>
      </c>
      <c r="M2" s="187">
        <v>42600</v>
      </c>
      <c r="N2" s="187">
        <v>42593</v>
      </c>
      <c r="O2" s="187">
        <v>42586</v>
      </c>
      <c r="P2" s="187">
        <v>42579</v>
      </c>
      <c r="Q2" s="187">
        <v>42572</v>
      </c>
      <c r="R2" s="187">
        <v>42565</v>
      </c>
      <c r="S2" s="187">
        <v>42558</v>
      </c>
      <c r="T2" s="187">
        <v>42551</v>
      </c>
      <c r="U2" s="187">
        <v>42544</v>
      </c>
      <c r="V2" s="187">
        <v>42537</v>
      </c>
      <c r="W2" s="187">
        <v>42530</v>
      </c>
      <c r="X2" s="187">
        <v>42523</v>
      </c>
      <c r="Y2" s="187">
        <v>42516</v>
      </c>
      <c r="Z2" s="187">
        <v>42509</v>
      </c>
      <c r="AA2" s="187">
        <v>42502</v>
      </c>
      <c r="AB2" s="187">
        <v>42495</v>
      </c>
      <c r="AC2" s="187">
        <v>42488</v>
      </c>
      <c r="AD2" s="187">
        <v>42481</v>
      </c>
      <c r="AE2" s="187">
        <v>42474</v>
      </c>
      <c r="AF2" s="187">
        <v>42467</v>
      </c>
      <c r="AG2" s="187">
        <v>42460</v>
      </c>
      <c r="AH2" s="187">
        <v>42453</v>
      </c>
      <c r="AI2" s="187">
        <v>42446</v>
      </c>
    </row>
    <row r="3" spans="2:35" ht="15.75">
      <c r="B3" s="154" t="s">
        <v>25</v>
      </c>
      <c r="C3" s="155">
        <f>SUM(D3:AI3)*50</f>
        <v>150</v>
      </c>
      <c r="D3" s="156"/>
      <c r="E3" s="156"/>
      <c r="F3" s="156">
        <v>1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>
        <v>1</v>
      </c>
      <c r="AA3" s="156"/>
      <c r="AB3" s="156"/>
      <c r="AC3" s="156">
        <v>1</v>
      </c>
      <c r="AD3" s="156"/>
      <c r="AE3" s="156"/>
      <c r="AF3" s="156"/>
      <c r="AG3" s="156"/>
      <c r="AH3" s="156"/>
      <c r="AI3" s="156"/>
    </row>
    <row r="4" spans="2:36" s="24" customFormat="1" ht="15.75">
      <c r="B4" s="154" t="s">
        <v>41</v>
      </c>
      <c r="C4" s="155">
        <f>SUM(D4:AI4)*50</f>
        <v>100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>
        <v>1</v>
      </c>
      <c r="AC4" s="156"/>
      <c r="AD4" s="156"/>
      <c r="AE4" s="156"/>
      <c r="AF4" s="156"/>
      <c r="AG4" s="156"/>
      <c r="AH4" s="156"/>
      <c r="AI4" s="156">
        <v>1</v>
      </c>
      <c r="AJ4" s="15"/>
    </row>
    <row r="5" spans="2:35" ht="15.75">
      <c r="B5" s="154" t="s">
        <v>15</v>
      </c>
      <c r="C5" s="155">
        <f>SUM(D5:AI5)*50</f>
        <v>100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>
        <v>1</v>
      </c>
      <c r="AA5" s="156"/>
      <c r="AB5" s="156"/>
      <c r="AC5" s="156"/>
      <c r="AD5" s="156"/>
      <c r="AE5" s="156">
        <v>1</v>
      </c>
      <c r="AF5" s="156"/>
      <c r="AG5" s="156"/>
      <c r="AH5" s="156"/>
      <c r="AI5" s="156"/>
    </row>
    <row r="6" spans="1:36" s="25" customFormat="1" ht="15.75">
      <c r="A6" s="15"/>
      <c r="B6" s="154" t="s">
        <v>19</v>
      </c>
      <c r="C6" s="155">
        <f>SUM(D6:AI6)*50</f>
        <v>50</v>
      </c>
      <c r="D6" s="156"/>
      <c r="E6" s="156"/>
      <c r="F6" s="156"/>
      <c r="G6" s="244"/>
      <c r="H6" s="156"/>
      <c r="I6" s="156"/>
      <c r="J6" s="156"/>
      <c r="K6" s="156"/>
      <c r="L6" s="156"/>
      <c r="M6" s="156"/>
      <c r="N6" s="244"/>
      <c r="O6" s="156"/>
      <c r="P6" s="156"/>
      <c r="Q6" s="156"/>
      <c r="R6" s="156"/>
      <c r="S6" s="156"/>
      <c r="T6" s="244"/>
      <c r="U6" s="244"/>
      <c r="V6" s="244"/>
      <c r="W6" s="156"/>
      <c r="X6" s="156"/>
      <c r="Y6" s="244"/>
      <c r="Z6" s="156"/>
      <c r="AA6" s="156"/>
      <c r="AB6" s="156"/>
      <c r="AC6" s="244"/>
      <c r="AD6" s="156"/>
      <c r="AE6" s="244"/>
      <c r="AF6" s="244"/>
      <c r="AG6" s="244"/>
      <c r="AH6" s="156">
        <v>1</v>
      </c>
      <c r="AI6" s="244"/>
      <c r="AJ6" s="15"/>
    </row>
    <row r="7" spans="1:36" s="25" customFormat="1" ht="15.75">
      <c r="A7" s="15"/>
      <c r="B7" s="154" t="s">
        <v>45</v>
      </c>
      <c r="C7" s="155">
        <f>SUM(D7:AI7)*50</f>
        <v>50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244"/>
      <c r="U7" s="156"/>
      <c r="V7" s="156"/>
      <c r="W7" s="156"/>
      <c r="X7" s="156"/>
      <c r="Y7" s="244"/>
      <c r="Z7" s="156"/>
      <c r="AA7" s="156"/>
      <c r="AB7" s="156"/>
      <c r="AC7" s="244"/>
      <c r="AD7" s="156"/>
      <c r="AE7" s="156"/>
      <c r="AF7" s="156"/>
      <c r="AG7" s="156"/>
      <c r="AH7" s="156"/>
      <c r="AI7" s="156">
        <v>1</v>
      </c>
      <c r="AJ7" s="15"/>
    </row>
    <row r="8" spans="1:36" s="25" customFormat="1" ht="15.75">
      <c r="A8" s="15"/>
      <c r="B8" s="154" t="s">
        <v>31</v>
      </c>
      <c r="C8" s="155">
        <f>SUM(D8:AI8)*50</f>
        <v>50</v>
      </c>
      <c r="D8" s="156"/>
      <c r="E8" s="244"/>
      <c r="F8" s="244"/>
      <c r="G8" s="156"/>
      <c r="H8" s="156"/>
      <c r="I8" s="244"/>
      <c r="J8" s="244"/>
      <c r="K8" s="244"/>
      <c r="L8" s="156"/>
      <c r="M8" s="156"/>
      <c r="N8" s="156"/>
      <c r="O8" s="156"/>
      <c r="P8" s="156"/>
      <c r="Q8" s="156"/>
      <c r="R8" s="156"/>
      <c r="S8" s="156"/>
      <c r="T8" s="156"/>
      <c r="U8" s="244"/>
      <c r="V8" s="244"/>
      <c r="W8" s="156"/>
      <c r="X8" s="156"/>
      <c r="Y8" s="156"/>
      <c r="Z8" s="244"/>
      <c r="AA8" s="244"/>
      <c r="AB8" s="156"/>
      <c r="AC8" s="156">
        <v>1</v>
      </c>
      <c r="AD8" s="156"/>
      <c r="AE8" s="244"/>
      <c r="AF8" s="244"/>
      <c r="AG8" s="244"/>
      <c r="AH8" s="156"/>
      <c r="AI8" s="244"/>
      <c r="AJ8" s="15"/>
    </row>
    <row r="9" spans="2:35" ht="15.75">
      <c r="B9" s="154" t="s">
        <v>35</v>
      </c>
      <c r="C9" s="155">
        <f>SUM(D9:AI9)*50</f>
        <v>50</v>
      </c>
      <c r="D9" s="244"/>
      <c r="E9" s="156"/>
      <c r="F9" s="244"/>
      <c r="G9" s="244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244"/>
      <c r="U9" s="244"/>
      <c r="V9" s="156"/>
      <c r="W9" s="156"/>
      <c r="X9" s="156"/>
      <c r="Y9" s="244"/>
      <c r="Z9" s="156"/>
      <c r="AA9" s="156"/>
      <c r="AB9" s="156"/>
      <c r="AC9" s="244">
        <v>1</v>
      </c>
      <c r="AD9" s="156"/>
      <c r="AE9" s="156"/>
      <c r="AF9" s="156"/>
      <c r="AG9" s="156"/>
      <c r="AH9" s="156"/>
      <c r="AI9" s="244"/>
    </row>
    <row r="10" spans="2:35" ht="15.75">
      <c r="B10" s="154" t="s">
        <v>29</v>
      </c>
      <c r="C10" s="155">
        <f>SUM(D10:AI10)*50</f>
        <v>50</v>
      </c>
      <c r="D10" s="156"/>
      <c r="E10" s="156"/>
      <c r="F10" s="156"/>
      <c r="G10" s="156"/>
      <c r="H10" s="244"/>
      <c r="I10" s="244"/>
      <c r="J10" s="156"/>
      <c r="K10" s="156"/>
      <c r="L10" s="156"/>
      <c r="M10" s="156"/>
      <c r="N10" s="156"/>
      <c r="O10" s="244"/>
      <c r="P10" s="244">
        <v>1</v>
      </c>
      <c r="Q10" s="156"/>
      <c r="R10" s="156"/>
      <c r="S10" s="156"/>
      <c r="T10" s="156"/>
      <c r="U10" s="156"/>
      <c r="V10" s="156"/>
      <c r="W10" s="244"/>
      <c r="X10" s="156"/>
      <c r="Y10" s="156"/>
      <c r="Z10" s="156"/>
      <c r="AA10" s="244"/>
      <c r="AB10" s="156"/>
      <c r="AC10" s="244"/>
      <c r="AD10" s="156"/>
      <c r="AE10" s="244"/>
      <c r="AF10" s="244"/>
      <c r="AG10" s="244"/>
      <c r="AH10" s="156"/>
      <c r="AI10" s="156"/>
    </row>
    <row r="11" spans="1:35" ht="15.75">
      <c r="A11" s="25"/>
      <c r="B11" s="154" t="s">
        <v>9</v>
      </c>
      <c r="C11" s="155">
        <f>SUM(D11:AI11)*50</f>
        <v>0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</row>
    <row r="12" spans="2:35" ht="15.75">
      <c r="B12" s="154" t="s">
        <v>11</v>
      </c>
      <c r="C12" s="155">
        <f>SUM(D12:AI12)*50</f>
        <v>0</v>
      </c>
      <c r="D12" s="156"/>
      <c r="E12" s="156"/>
      <c r="F12" s="156"/>
      <c r="G12" s="244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244"/>
      <c r="V12" s="156"/>
      <c r="W12" s="156"/>
      <c r="X12" s="156"/>
      <c r="Y12" s="244"/>
      <c r="Z12" s="156"/>
      <c r="AA12" s="244"/>
      <c r="AB12" s="156"/>
      <c r="AC12" s="156"/>
      <c r="AD12" s="156"/>
      <c r="AE12" s="156"/>
      <c r="AF12" s="156"/>
      <c r="AG12" s="156"/>
      <c r="AH12" s="156"/>
      <c r="AI12" s="156"/>
    </row>
    <row r="13" spans="1:35" ht="15.75">
      <c r="A13" s="25"/>
      <c r="B13" s="154" t="s">
        <v>13</v>
      </c>
      <c r="C13" s="155">
        <f>SUM(D13:AI13)*50</f>
        <v>0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5" ht="15.75">
      <c r="A14" s="25"/>
      <c r="B14" s="154" t="s">
        <v>17</v>
      </c>
      <c r="C14" s="155">
        <f>SUM(D14:AI14)*50</f>
        <v>0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244"/>
      <c r="W14" s="156"/>
      <c r="X14" s="156"/>
      <c r="Y14" s="156"/>
      <c r="Z14" s="156"/>
      <c r="AA14" s="244"/>
      <c r="AB14" s="156"/>
      <c r="AC14" s="156"/>
      <c r="AD14" s="156"/>
      <c r="AE14" s="156"/>
      <c r="AF14" s="156"/>
      <c r="AG14" s="156"/>
      <c r="AH14" s="156"/>
      <c r="AI14" s="244"/>
    </row>
    <row r="15" spans="1:36" s="25" customFormat="1" ht="15.75">
      <c r="A15" s="15"/>
      <c r="B15" s="154" t="s">
        <v>21</v>
      </c>
      <c r="C15" s="155">
        <f>SUM(D15:AI15)*50</f>
        <v>0</v>
      </c>
      <c r="D15" s="156"/>
      <c r="E15" s="156"/>
      <c r="F15" s="156"/>
      <c r="G15" s="244"/>
      <c r="H15" s="156"/>
      <c r="I15" s="156"/>
      <c r="J15" s="156"/>
      <c r="K15" s="156"/>
      <c r="L15" s="156"/>
      <c r="M15" s="156"/>
      <c r="N15" s="244"/>
      <c r="O15" s="156"/>
      <c r="P15" s="156"/>
      <c r="Q15" s="156"/>
      <c r="R15" s="156"/>
      <c r="S15" s="156"/>
      <c r="T15" s="244"/>
      <c r="U15" s="244"/>
      <c r="V15" s="244"/>
      <c r="W15" s="156"/>
      <c r="X15" s="156"/>
      <c r="Y15" s="244"/>
      <c r="Z15" s="156"/>
      <c r="AA15" s="156"/>
      <c r="AB15" s="156"/>
      <c r="AC15" s="244"/>
      <c r="AD15" s="156"/>
      <c r="AE15" s="244"/>
      <c r="AF15" s="244"/>
      <c r="AG15" s="244"/>
      <c r="AH15" s="156"/>
      <c r="AI15" s="244"/>
      <c r="AJ15" s="15"/>
    </row>
    <row r="16" spans="2:35" ht="15.75">
      <c r="B16" s="154" t="s">
        <v>23</v>
      </c>
      <c r="C16" s="155">
        <f>SUM(D16:AI16)*50</f>
        <v>0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</row>
    <row r="17" spans="2:35" ht="15.75">
      <c r="B17" s="154" t="s">
        <v>27</v>
      </c>
      <c r="C17" s="155">
        <f>SUM(D17:AI17)*50</f>
        <v>0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2:35" ht="15.75">
      <c r="B18" s="154" t="s">
        <v>33</v>
      </c>
      <c r="C18" s="155">
        <f>SUM(D18:AI18)*50</f>
        <v>0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</row>
    <row r="19" spans="2:35" ht="15.75">
      <c r="B19" s="154" t="s">
        <v>37</v>
      </c>
      <c r="C19" s="155">
        <f>SUM(D19:AI19)*50</f>
        <v>0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244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244"/>
    </row>
    <row r="20" spans="2:35" ht="15.75">
      <c r="B20" s="154" t="s">
        <v>39</v>
      </c>
      <c r="C20" s="155">
        <f>SUM(D20:AI20)*50</f>
        <v>0</v>
      </c>
      <c r="D20" s="156"/>
      <c r="E20" s="244"/>
      <c r="F20" s="156"/>
      <c r="G20" s="244"/>
      <c r="H20" s="156"/>
      <c r="I20" s="244"/>
      <c r="J20" s="244"/>
      <c r="K20" s="156"/>
      <c r="L20" s="156"/>
      <c r="M20" s="156"/>
      <c r="N20" s="156"/>
      <c r="O20" s="156"/>
      <c r="P20" s="156"/>
      <c r="Q20" s="156"/>
      <c r="R20" s="244"/>
      <c r="S20" s="156"/>
      <c r="T20" s="244"/>
      <c r="U20" s="244"/>
      <c r="V20" s="156"/>
      <c r="W20" s="156"/>
      <c r="X20" s="156"/>
      <c r="Y20" s="156"/>
      <c r="Z20" s="156"/>
      <c r="AA20" s="156"/>
      <c r="AB20" s="156"/>
      <c r="AC20" s="156"/>
      <c r="AD20" s="156"/>
      <c r="AE20" s="244"/>
      <c r="AF20" s="244"/>
      <c r="AG20" s="244"/>
      <c r="AH20" s="156"/>
      <c r="AI20" s="156"/>
    </row>
    <row r="21" spans="2:35" ht="15.75">
      <c r="B21" s="154" t="s">
        <v>43</v>
      </c>
      <c r="C21" s="155">
        <f>SUM(D21:AI21)*50</f>
        <v>0</v>
      </c>
      <c r="D21" s="156"/>
      <c r="E21" s="244"/>
      <c r="F21" s="156"/>
      <c r="G21" s="244"/>
      <c r="H21" s="156"/>
      <c r="I21" s="244"/>
      <c r="J21" s="244"/>
      <c r="K21" s="156"/>
      <c r="L21" s="156"/>
      <c r="M21" s="156"/>
      <c r="N21" s="156"/>
      <c r="O21" s="156"/>
      <c r="P21" s="156"/>
      <c r="Q21" s="156"/>
      <c r="R21" s="156"/>
      <c r="S21" s="156"/>
      <c r="T21" s="244"/>
      <c r="U21" s="244"/>
      <c r="V21" s="156"/>
      <c r="W21" s="156"/>
      <c r="X21" s="156"/>
      <c r="Y21" s="244"/>
      <c r="Z21" s="156"/>
      <c r="AA21" s="244"/>
      <c r="AB21" s="156"/>
      <c r="AC21" s="156"/>
      <c r="AD21" s="244"/>
      <c r="AE21" s="244"/>
      <c r="AF21" s="244"/>
      <c r="AG21" s="244"/>
      <c r="AH21" s="244"/>
      <c r="AI21" s="156"/>
    </row>
    <row r="22" spans="2:35" ht="15.75">
      <c r="B22" s="154" t="s">
        <v>47</v>
      </c>
      <c r="C22" s="155">
        <f>SUM(D22:AI22)*50</f>
        <v>0</v>
      </c>
      <c r="D22" s="156"/>
      <c r="E22" s="156"/>
      <c r="F22" s="156"/>
      <c r="G22" s="156"/>
      <c r="H22" s="156"/>
      <c r="I22" s="244"/>
      <c r="J22" s="156"/>
      <c r="K22" s="244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244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</row>
    <row r="23" spans="2:35" ht="15.75">
      <c r="B23" s="154" t="s">
        <v>49</v>
      </c>
      <c r="C23" s="155">
        <f>SUM(D23:AI23)*50</f>
        <v>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244"/>
      <c r="Q23" s="156"/>
      <c r="R23" s="156"/>
      <c r="S23" s="156"/>
      <c r="T23" s="156"/>
      <c r="U23" s="156"/>
      <c r="V23" s="244"/>
      <c r="W23" s="156"/>
      <c r="X23" s="244"/>
      <c r="Y23" s="244"/>
      <c r="Z23" s="244"/>
      <c r="AA23" s="156"/>
      <c r="AB23" s="156"/>
      <c r="AC23" s="156"/>
      <c r="AD23" s="156"/>
      <c r="AE23" s="244"/>
      <c r="AF23" s="244"/>
      <c r="AG23" s="244"/>
      <c r="AH23" s="156"/>
      <c r="AI23" s="244"/>
    </row>
    <row r="24" spans="2:35" ht="15.75">
      <c r="B24" s="154" t="s">
        <v>172</v>
      </c>
      <c r="C24" s="155">
        <f>SUM(D24:AI24)*50</f>
        <v>0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</row>
    <row r="25" spans="2:35" ht="15.75">
      <c r="B25" s="154" t="s">
        <v>51</v>
      </c>
      <c r="C25" s="155">
        <f>SUM(D25:AI25)*50</f>
        <v>0</v>
      </c>
      <c r="D25" s="156"/>
      <c r="E25" s="156"/>
      <c r="F25" s="156"/>
      <c r="G25" s="156"/>
      <c r="H25" s="156"/>
      <c r="I25" s="156"/>
      <c r="J25" s="244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244"/>
    </row>
    <row r="26" spans="2:35" ht="15.75">
      <c r="B26" s="157" t="s">
        <v>53</v>
      </c>
      <c r="C26" s="155">
        <f>SUM(D26:AI26)*50</f>
        <v>0</v>
      </c>
      <c r="D26" s="159"/>
      <c r="E26" s="159"/>
      <c r="F26" s="159"/>
      <c r="G26" s="159"/>
      <c r="H26" s="159"/>
      <c r="I26" s="159"/>
      <c r="J26" s="159"/>
      <c r="K26" s="159"/>
      <c r="L26" s="156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6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</row>
    <row r="27" spans="4:35" ht="15.75">
      <c r="D27" s="44">
        <f>SUM(D3:D26)</f>
        <v>0</v>
      </c>
      <c r="E27" s="44">
        <f>SUM(E3:E26)</f>
        <v>0</v>
      </c>
      <c r="F27" s="44">
        <f>SUM(F3:F26)</f>
        <v>1</v>
      </c>
      <c r="G27" s="44">
        <f>SUM(G3:G26)</f>
        <v>0</v>
      </c>
      <c r="H27" s="44">
        <f>SUM(H3:H26)</f>
        <v>0</v>
      </c>
      <c r="I27" s="44">
        <f>SUM(I3:I26)</f>
        <v>0</v>
      </c>
      <c r="J27" s="44">
        <f>SUM(J3:J26)</f>
        <v>0</v>
      </c>
      <c r="K27" s="44">
        <f>SUM(K3:K26)</f>
        <v>0</v>
      </c>
      <c r="L27" s="44">
        <f>SUM(L3:L26)</f>
        <v>0</v>
      </c>
      <c r="M27" s="44">
        <f>SUM(M3:M26)</f>
        <v>0</v>
      </c>
      <c r="N27" s="44">
        <f>SUM(N3:N26)</f>
        <v>0</v>
      </c>
      <c r="O27" s="44">
        <f>SUM(O3:O26)</f>
        <v>0</v>
      </c>
      <c r="P27" s="44">
        <f>SUM(P3:P26)</f>
        <v>1</v>
      </c>
      <c r="Q27" s="44">
        <f>SUM(Q3:Q26)</f>
        <v>0</v>
      </c>
      <c r="R27" s="44">
        <f>SUM(R3:R26)</f>
        <v>0</v>
      </c>
      <c r="S27" s="44">
        <f>SUM(S3:S26)</f>
        <v>0</v>
      </c>
      <c r="T27" s="44">
        <f>SUM(T3:T26)</f>
        <v>0</v>
      </c>
      <c r="U27" s="44">
        <f>SUM(U3:U26)</f>
        <v>0</v>
      </c>
      <c r="V27" s="44">
        <f>SUM(V3:V26)</f>
        <v>0</v>
      </c>
      <c r="W27" s="44">
        <f>SUM(W3:W26)</f>
        <v>0</v>
      </c>
      <c r="X27" s="44">
        <f>SUM(X3:X26)</f>
        <v>0</v>
      </c>
      <c r="Y27" s="44">
        <f>SUM(Y3:Y26)</f>
        <v>0</v>
      </c>
      <c r="Z27" s="44">
        <f>SUM(Z3:Z26)</f>
        <v>2</v>
      </c>
      <c r="AA27" s="44">
        <f>SUM(AA3:AA26)</f>
        <v>0</v>
      </c>
      <c r="AB27" s="44">
        <f>SUM(AB3:AB26)</f>
        <v>1</v>
      </c>
      <c r="AC27" s="44">
        <f>SUM(AC3:AC26)</f>
        <v>3</v>
      </c>
      <c r="AD27" s="44">
        <f>SUM(AD3:AD26)</f>
        <v>0</v>
      </c>
      <c r="AE27" s="44">
        <f>SUM(AE3:AE26)</f>
        <v>1</v>
      </c>
      <c r="AF27" s="44">
        <f>SUM(AF3:AF26)</f>
        <v>0</v>
      </c>
      <c r="AG27" s="44">
        <f>SUM(AG3:AG26)</f>
        <v>0</v>
      </c>
      <c r="AH27" s="44">
        <f>SUM(AH3:AH26)</f>
        <v>1</v>
      </c>
      <c r="AI27" s="44">
        <f>SUM(AI3:AI26)</f>
        <v>2</v>
      </c>
    </row>
    <row r="28" spans="2:35" ht="15.75">
      <c r="B28" s="193"/>
      <c r="C28" s="48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</row>
  </sheetData>
  <sheetProtection selectLockedCells="1" selectUnlockedCells="1"/>
  <autoFilter ref="B2:AI2">
    <sortState ref="B3:AI28">
      <sortCondition descending="1" sortBy="value" ref="C3:C28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C38" sqref="C38"/>
    </sheetView>
  </sheetViews>
  <sheetFormatPr defaultColWidth="11.57421875" defaultRowHeight="12.75"/>
  <cols>
    <col min="1" max="1" width="8.421875" style="0" customWidth="1"/>
    <col min="2" max="2" width="11.421875" style="0" customWidth="1"/>
    <col min="3" max="3" width="43.00390625" style="0" customWidth="1"/>
    <col min="4" max="4" width="21.7109375" style="201" customWidth="1"/>
    <col min="5" max="5" width="12.140625" style="10" customWidth="1"/>
    <col min="6" max="6" width="21.7109375" style="201" bestFit="1" customWidth="1"/>
    <col min="7" max="7" width="18.28125" style="201" customWidth="1"/>
    <col min="8" max="16384" width="11.421875" style="0" customWidth="1"/>
  </cols>
  <sheetData>
    <row r="1" spans="1:7" ht="28.5">
      <c r="A1" s="478" t="s">
        <v>301</v>
      </c>
      <c r="B1" s="478"/>
      <c r="C1" s="478"/>
      <c r="D1" s="478"/>
      <c r="E1" s="478"/>
      <c r="F1" s="478"/>
      <c r="G1" s="478"/>
    </row>
    <row r="2" spans="1:8" s="10" customFormat="1" ht="15.75">
      <c r="A2" s="162" t="s">
        <v>74</v>
      </c>
      <c r="B2" s="162" t="s">
        <v>123</v>
      </c>
      <c r="C2" s="162" t="s">
        <v>124</v>
      </c>
      <c r="D2" s="162" t="s">
        <v>144</v>
      </c>
      <c r="E2" s="162" t="s">
        <v>145</v>
      </c>
      <c r="F2" s="162" t="s">
        <v>146</v>
      </c>
      <c r="G2" s="312" t="s">
        <v>153</v>
      </c>
      <c r="H2" s="125"/>
    </row>
    <row r="3" spans="1:7" ht="15.75">
      <c r="A3" s="261">
        <f>'Tourplan m. sløjfer'!A8</f>
        <v>42446</v>
      </c>
      <c r="B3" s="260">
        <f>'Tourplan m. sløjfer'!C8</f>
        <v>5000000</v>
      </c>
      <c r="C3" s="259" t="str">
        <f>'Tourplan m. sløjfer'!D8</f>
        <v>Arnold Palmer Invitational</v>
      </c>
      <c r="D3" s="184" t="str">
        <f>'17-03'!A4</f>
        <v>Martin Andersen</v>
      </c>
      <c r="E3" s="208">
        <f>'17-03'!C4</f>
        <v>39</v>
      </c>
      <c r="F3" s="258"/>
      <c r="G3" s="394"/>
    </row>
    <row r="4" spans="1:7" ht="15.75">
      <c r="A4" s="261">
        <f>'Tourplan m. sløjfer'!A9</f>
        <v>42453</v>
      </c>
      <c r="B4" s="260">
        <f>'Tourplan m. sløjfer'!C9</f>
        <v>5000000</v>
      </c>
      <c r="C4" s="259" t="str">
        <f>'Tourplan m. sløjfer'!D9</f>
        <v>WGC - Dell Match Play</v>
      </c>
      <c r="D4" s="184" t="str">
        <f>'24-03'!A4</f>
        <v>John Sørensen</v>
      </c>
      <c r="E4" s="260">
        <f>'24-03'!C4</f>
        <v>40</v>
      </c>
      <c r="F4" s="259"/>
      <c r="G4" s="394"/>
    </row>
    <row r="5" spans="1:7" ht="15.75">
      <c r="A5" s="261">
        <f>'Tourplan m. sløjfer'!A10</f>
        <v>42460</v>
      </c>
      <c r="B5" s="260">
        <f>'Tourplan m. sløjfer'!C10</f>
        <v>6000000</v>
      </c>
      <c r="C5" s="259" t="str">
        <f>'Tourplan m. sløjfer'!D10</f>
        <v>Shell Houston Open</v>
      </c>
      <c r="D5" s="184" t="str">
        <f>'31-03'!A4</f>
        <v>Carsten Dahl</v>
      </c>
      <c r="E5" s="260">
        <f>'31-03'!C4</f>
        <v>35</v>
      </c>
      <c r="F5" s="184" t="str">
        <f>'31-03'!A8</f>
        <v>Jens Laigaard</v>
      </c>
      <c r="G5" s="394">
        <f>'31-03'!E8</f>
        <v>4.13</v>
      </c>
    </row>
    <row r="6" spans="1:7" ht="16.5" thickBot="1">
      <c r="A6" s="160">
        <f>'Tourplan m. sløjfer'!A11</f>
        <v>42467</v>
      </c>
      <c r="B6" s="161">
        <f>'Tourplan m. sløjfer'!C11</f>
        <v>8000000</v>
      </c>
      <c r="C6" s="367" t="str">
        <f>'Tourplan m. sløjfer'!D11</f>
        <v>MASTERS TOURNAMENT</v>
      </c>
      <c r="D6" s="264" t="str">
        <f>'07-04'!A4</f>
        <v>Jens Laigaard</v>
      </c>
      <c r="E6" s="265">
        <f>'07-04'!C4</f>
        <v>34</v>
      </c>
      <c r="F6" s="266" t="str">
        <f>'07-04'!A6</f>
        <v>Robin Thybo</v>
      </c>
      <c r="G6" s="395">
        <v>2.74</v>
      </c>
    </row>
    <row r="7" spans="1:7" ht="15.75">
      <c r="A7" s="261">
        <f>'Tourplan m. sløjfer'!A12</f>
        <v>42474</v>
      </c>
      <c r="B7" s="260">
        <f>'Tourplan m. sløjfer'!C12</f>
        <v>6000000</v>
      </c>
      <c r="C7" s="259" t="str">
        <f>'Tourplan m. sløjfer'!D12</f>
        <v>RBC Heritage</v>
      </c>
      <c r="D7" s="380" t="str">
        <f>'14-04'!A4</f>
        <v>Carsten Dahl</v>
      </c>
      <c r="E7" s="381">
        <f>'14-04'!C4</f>
        <v>39</v>
      </c>
      <c r="F7" s="382" t="str">
        <f>'14-04'!A22</f>
        <v>Carsten Lund</v>
      </c>
      <c r="G7" s="396">
        <f>'14-04'!E22</f>
        <v>1.7</v>
      </c>
    </row>
    <row r="8" spans="1:7" ht="15.75">
      <c r="A8" s="261">
        <f>'Tourplan m. sløjfer'!A13</f>
        <v>42481</v>
      </c>
      <c r="B8" s="260">
        <f>'Tourplan m. sløjfer'!C13</f>
        <v>6000000</v>
      </c>
      <c r="C8" s="259" t="str">
        <f>'Tourplan m. sløjfer'!D13</f>
        <v>Valero Texas Open</v>
      </c>
      <c r="D8" s="380" t="str">
        <f>'21-04'!A4</f>
        <v>Bo Hansen</v>
      </c>
      <c r="E8" s="384">
        <f>'21-04'!C4</f>
        <v>35</v>
      </c>
      <c r="F8" s="385" t="str">
        <f>'21-04'!A20</f>
        <v>Jens Laigaard</v>
      </c>
      <c r="G8" s="397">
        <f>'21-04'!E20</f>
        <v>2.37</v>
      </c>
    </row>
    <row r="9" spans="1:7" ht="15.75">
      <c r="A9" s="261">
        <f>'Tourplan m. sløjfer'!A14</f>
        <v>42488</v>
      </c>
      <c r="B9" s="260">
        <f>'Tourplan m. sløjfer'!C14</f>
        <v>6000000</v>
      </c>
      <c r="C9" s="259" t="str">
        <f>'Tourplan m. sløjfer'!D14</f>
        <v>Zürich Classic of New Orleans</v>
      </c>
      <c r="D9" s="380" t="str">
        <f>'28-04'!A4</f>
        <v>Jakob Kristensen</v>
      </c>
      <c r="E9" s="384">
        <f>'28-04'!C4</f>
        <v>39</v>
      </c>
      <c r="F9" s="385" t="str">
        <f>'28-04'!A15</f>
        <v>Claus Jessen</v>
      </c>
      <c r="G9" s="397">
        <v>11</v>
      </c>
    </row>
    <row r="10" spans="1:7" ht="15.75">
      <c r="A10" s="261">
        <f>'Tourplan m. sløjfer'!A15</f>
        <v>42495</v>
      </c>
      <c r="B10" s="260">
        <f>'Tourplan m. sløjfer'!C15</f>
        <v>6000000</v>
      </c>
      <c r="C10" s="259" t="str">
        <f>'Tourplan m. sløjfer'!D15</f>
        <v>Wells Fargo Championship</v>
      </c>
      <c r="D10" s="380" t="str">
        <f>'05-05'!A4</f>
        <v>Torben Jacobsen</v>
      </c>
      <c r="E10" s="386">
        <f>'05-05'!C4</f>
        <v>32</v>
      </c>
      <c r="F10" s="387" t="str">
        <f>'05-05'!A10</f>
        <v>Robin Thybo</v>
      </c>
      <c r="G10" s="397">
        <v>14</v>
      </c>
    </row>
    <row r="11" spans="1:7" ht="16.5" thickBot="1">
      <c r="A11" s="160">
        <f>'Tourplan m. sløjfer'!A16</f>
        <v>42502</v>
      </c>
      <c r="B11" s="161">
        <f>'Tourplan m. sløjfer'!C16</f>
        <v>6000000</v>
      </c>
      <c r="C11" s="367" t="str">
        <f>'Tourplan m. sløjfer'!D16</f>
        <v>The Players Championship</v>
      </c>
      <c r="D11" s="264" t="str">
        <f>'12-05'!A4</f>
        <v>Bo Hansen</v>
      </c>
      <c r="E11" s="390">
        <f>'12-05'!C4</f>
        <v>38</v>
      </c>
      <c r="F11" s="391" t="s">
        <v>48</v>
      </c>
      <c r="G11" s="398">
        <v>5.04</v>
      </c>
    </row>
    <row r="12" spans="1:7" ht="15.75">
      <c r="A12" s="261">
        <f>'Tourplan m. sløjfer'!A17</f>
        <v>42509</v>
      </c>
      <c r="B12" s="260">
        <f>'Tourplan m. sløjfer'!C17</f>
        <v>6000000</v>
      </c>
      <c r="C12" s="259" t="str">
        <f>'Tourplan m. sløjfer'!D17</f>
        <v>AT&amp;T Byron Nelson Championship </v>
      </c>
      <c r="D12" s="380" t="str">
        <f>'19-05'!A4</f>
        <v>Robin Thybo</v>
      </c>
      <c r="E12" s="384">
        <f>'19-05'!C4</f>
        <v>41</v>
      </c>
      <c r="F12" s="387" t="str">
        <f>'19-05'!A9</f>
        <v>Jakob Kristensen</v>
      </c>
      <c r="G12" s="397">
        <f>'19-05'!E9</f>
        <v>6.47</v>
      </c>
    </row>
    <row r="13" spans="1:7" ht="15.75">
      <c r="A13" s="261">
        <f>'Tourplan m. sløjfer'!A18</f>
        <v>42516</v>
      </c>
      <c r="B13" s="260">
        <f>'Tourplan m. sløjfer'!C18</f>
        <v>6000000</v>
      </c>
      <c r="C13" s="259" t="str">
        <f>'Tourplan m. sløjfer'!D18</f>
        <v>DEAN &amp; DELUCA Invitational</v>
      </c>
      <c r="D13" s="380" t="str">
        <f>'26-05'!A4</f>
        <v>Martin Andersen</v>
      </c>
      <c r="E13" s="384">
        <f>'26-05'!C4</f>
        <v>66</v>
      </c>
      <c r="F13" s="387" t="str">
        <f>'26-05'!A14</f>
        <v>Ole Malmskov</v>
      </c>
      <c r="G13" s="397">
        <f>'26-05'!E14</f>
        <v>3.14</v>
      </c>
    </row>
    <row r="14" spans="1:7" ht="16.5" thickBot="1">
      <c r="A14" s="160">
        <f>'Tourplan m. sløjfer'!A20</f>
        <v>42523</v>
      </c>
      <c r="B14" s="161">
        <f>'Tourplan m. sløjfer'!C20</f>
        <v>6000000</v>
      </c>
      <c r="C14" s="367" t="str">
        <f>'Tourplan m. sløjfer'!D20</f>
        <v>the Memorial Tournament</v>
      </c>
      <c r="D14" s="264" t="str">
        <f>'02-06'!A4</f>
        <v>Jens Laigaard</v>
      </c>
      <c r="E14" s="265">
        <v>37</v>
      </c>
      <c r="F14" s="267" t="str">
        <f>'02-06'!A16</f>
        <v>Steen Nybo</v>
      </c>
      <c r="G14" s="395">
        <f>'02-06'!E16</f>
        <v>2.95</v>
      </c>
    </row>
    <row r="15" spans="1:7" ht="15.75">
      <c r="A15" s="261">
        <f>'Tourplan m. sløjfer'!A21</f>
        <v>42530</v>
      </c>
      <c r="B15" s="260">
        <f>'Tourplan m. sløjfer'!C21</f>
        <v>6000000</v>
      </c>
      <c r="C15" s="259" t="str">
        <f>'Tourplan m. sløjfer'!D21</f>
        <v>FedEx St. Jude Classic</v>
      </c>
      <c r="D15" s="380" t="str">
        <f>'09-06'!A4</f>
        <v>Børge Heiberg</v>
      </c>
      <c r="E15" s="393">
        <f>'09-06'!C4</f>
        <v>42</v>
      </c>
      <c r="F15" s="380" t="str">
        <f>'09-06'!A18</f>
        <v>Erik M. Pedersen</v>
      </c>
      <c r="G15" s="396">
        <f>'09-06'!E18</f>
        <v>4.84</v>
      </c>
    </row>
    <row r="16" spans="1:7" ht="15.75">
      <c r="A16" s="261">
        <f>'Tourplan m. sløjfer'!A22</f>
        <v>42537</v>
      </c>
      <c r="B16" s="260">
        <f>'Tourplan m. sløjfer'!C22</f>
        <v>8000000</v>
      </c>
      <c r="C16" s="259" t="str">
        <f>'Tourplan m. sløjfer'!D22</f>
        <v>U.S. OPEN</v>
      </c>
      <c r="D16" s="380" t="str">
        <f>'16-06'!A4</f>
        <v>Jan Hegner</v>
      </c>
      <c r="E16" s="399">
        <f>'16-06'!C4</f>
        <v>67</v>
      </c>
      <c r="F16" s="380" t="str">
        <f>'16-06'!A16</f>
        <v>Torben Jacobsen</v>
      </c>
      <c r="G16" s="396">
        <f>'16-06'!E16</f>
        <v>3.23</v>
      </c>
    </row>
    <row r="17" spans="1:7" ht="15.75">
      <c r="A17" s="261">
        <f>'Tourplan m. sløjfer'!A23</f>
        <v>42544</v>
      </c>
      <c r="B17" s="260">
        <f>'Tourplan m. sløjfer'!C23</f>
        <v>6000000</v>
      </c>
      <c r="C17" s="259" t="str">
        <f>'Tourplan m. sløjfer'!D23</f>
        <v>Quicken Loan National</v>
      </c>
      <c r="D17" s="380" t="str">
        <f>'23-06'!A4</f>
        <v>John Sørensen</v>
      </c>
      <c r="E17" s="393">
        <f>'23-06'!C4</f>
        <v>35</v>
      </c>
      <c r="F17" s="380" t="str">
        <f>'23-06'!A4</f>
        <v>John Sørensen</v>
      </c>
      <c r="G17" s="396">
        <f>'23-06'!E4</f>
        <v>1.16</v>
      </c>
    </row>
    <row r="18" spans="1:7" ht="15.75">
      <c r="A18" s="261">
        <f>'Tourplan m. sløjfer'!A24</f>
        <v>42551</v>
      </c>
      <c r="B18" s="260">
        <f>'Tourplan m. sløjfer'!C24</f>
        <v>6000000</v>
      </c>
      <c r="C18" s="259" t="str">
        <f>'Tourplan m. sløjfer'!D24</f>
        <v>WGC-Bridgestone Invitational</v>
      </c>
      <c r="D18" s="380" t="s">
        <v>270</v>
      </c>
      <c r="E18" s="393">
        <v>60</v>
      </c>
      <c r="F18" s="380" t="str">
        <f>'23-06'!A5</f>
        <v>Jan Hegner</v>
      </c>
      <c r="G18" s="396">
        <v>2.2</v>
      </c>
    </row>
    <row r="19" spans="1:7" ht="16.5" thickBot="1">
      <c r="A19" s="160">
        <f>'Tourplan m. sløjfer'!A25</f>
        <v>42558</v>
      </c>
      <c r="B19" s="161">
        <f>'Tourplan m. sløjfer'!C25</f>
        <v>6000000</v>
      </c>
      <c r="C19" s="367" t="str">
        <f>'Tourplan m. sløjfer'!D25</f>
        <v>The Greenbrier Classic </v>
      </c>
      <c r="D19" s="264" t="str">
        <f>'07-07'!A4</f>
        <v>Torben Jacobsen</v>
      </c>
      <c r="E19" s="265">
        <v>38</v>
      </c>
      <c r="F19" s="264" t="str">
        <f>'07-07'!A6</f>
        <v>Robin Thybo</v>
      </c>
      <c r="G19" s="395">
        <v>2.13</v>
      </c>
    </row>
    <row r="20" spans="1:7" ht="15.75">
      <c r="A20" s="261">
        <f>'Tourplan m. sløjfer'!A26</f>
        <v>42565</v>
      </c>
      <c r="B20" s="260">
        <f>'Tourplan m. sløjfer'!C26</f>
        <v>8000000</v>
      </c>
      <c r="C20" s="259" t="str">
        <f>'Tourplan m. sløjfer'!D26</f>
        <v>THE OPEN CHAMPIONSHIP</v>
      </c>
      <c r="D20" s="380" t="str">
        <f>'14-07'!A4</f>
        <v>Jens Laigaard</v>
      </c>
      <c r="E20" s="381">
        <v>69</v>
      </c>
      <c r="F20" s="383" t="str">
        <f>'14-07'!A9</f>
        <v>Morten Clausen</v>
      </c>
      <c r="G20" s="396">
        <v>5.02</v>
      </c>
    </row>
    <row r="21" spans="1:7" ht="15.75">
      <c r="A21" s="261">
        <f>'Tourplan m. sløjfer'!A27</f>
        <v>42572</v>
      </c>
      <c r="B21" s="260">
        <f>'Tourplan m. sløjfer'!C27</f>
        <v>6000000</v>
      </c>
      <c r="C21" s="259" t="str">
        <f>'Tourplan m. sløjfer'!D27</f>
        <v>RBC Canadian Open</v>
      </c>
      <c r="D21" s="380" t="str">
        <f>'21-07'!A4</f>
        <v>Jakob Kristensen</v>
      </c>
      <c r="E21" s="381">
        <v>43</v>
      </c>
      <c r="F21" s="380" t="s">
        <v>28</v>
      </c>
      <c r="G21" s="396">
        <v>2.01</v>
      </c>
    </row>
    <row r="22" spans="1:7" ht="15.75">
      <c r="A22" s="261">
        <f>'Tourplan m. sløjfer'!A28</f>
        <v>42579</v>
      </c>
      <c r="B22" s="260">
        <f>'Tourplan m. sløjfer'!C28</f>
        <v>8000000</v>
      </c>
      <c r="C22" s="259" t="str">
        <f>'Tourplan m. sløjfer'!D28</f>
        <v>PGA CHAMPIONSHIP</v>
      </c>
      <c r="D22" s="380" t="str">
        <f>'28-07'!A4</f>
        <v>John Sørensen</v>
      </c>
      <c r="E22" s="393">
        <v>38</v>
      </c>
      <c r="F22" s="380" t="str">
        <f>'28-07'!A10</f>
        <v>Jan Hegner</v>
      </c>
      <c r="G22" s="396">
        <v>11.25</v>
      </c>
    </row>
    <row r="23" spans="1:7" ht="16.5" thickBot="1">
      <c r="A23" s="160">
        <f>'Tourplan m. sløjfer'!A29</f>
        <v>42586</v>
      </c>
      <c r="B23" s="161">
        <f>'Tourplan m. sløjfer'!C29</f>
        <v>6000000</v>
      </c>
      <c r="C23" s="367" t="str">
        <f>'Tourplan m. sløjfer'!D29</f>
        <v>Travelers Championship</v>
      </c>
      <c r="D23" s="264" t="str">
        <f>'04-08'!A4</f>
        <v>Børge Heiberg</v>
      </c>
      <c r="E23" s="390">
        <v>35</v>
      </c>
      <c r="F23" s="407" t="str">
        <f>'04-08'!A5</f>
        <v>Carsten Lund</v>
      </c>
      <c r="G23" s="398">
        <v>6.85</v>
      </c>
    </row>
    <row r="24" spans="1:7" ht="15.75">
      <c r="A24" s="261">
        <f>'Tourplan m. sløjfer'!A30</f>
        <v>42593</v>
      </c>
      <c r="B24" s="260">
        <f>'Tourplan m. sløjfer'!C30</f>
        <v>6000000</v>
      </c>
      <c r="C24" s="259" t="str">
        <f>'Tourplan m. sløjfer'!D30</f>
        <v>Olympic Golf Competition</v>
      </c>
      <c r="D24" s="380" t="str">
        <f>'11-08'!A4</f>
        <v>Carsten Lund</v>
      </c>
      <c r="E24" s="384">
        <v>39</v>
      </c>
      <c r="F24" s="408" t="str">
        <f>'11-08'!A7</f>
        <v>Karsten Valeur</v>
      </c>
      <c r="G24" s="397">
        <v>0.15</v>
      </c>
    </row>
    <row r="25" spans="1:7" ht="15.75">
      <c r="A25" s="261">
        <f>'Tourplan m. sløjfer'!A31</f>
        <v>42600</v>
      </c>
      <c r="B25" s="260">
        <f>'Tourplan m. sløjfer'!C31</f>
        <v>6000000</v>
      </c>
      <c r="C25" s="259" t="str">
        <f>'Tourplan m. sløjfer'!D31</f>
        <v>Wyndham Championship</v>
      </c>
      <c r="D25" s="380" t="str">
        <f>'18-08'!A4</f>
        <v>Jan Hegner</v>
      </c>
      <c r="E25" s="386">
        <v>39</v>
      </c>
      <c r="F25" s="387" t="str">
        <f>'18-08'!A7</f>
        <v>Karsten Valeur</v>
      </c>
      <c r="G25" s="397">
        <v>3.05</v>
      </c>
    </row>
    <row r="26" spans="1:7" ht="15.75">
      <c r="A26" s="261">
        <f>'Tourplan m. sløjfer'!A32</f>
        <v>42607</v>
      </c>
      <c r="B26" s="260">
        <f>'Tourplan m. sløjfer'!C32</f>
        <v>6000000</v>
      </c>
      <c r="C26" s="259" t="str">
        <f>'Tourplan m. sløjfer'!D32</f>
        <v>Made in Denmark</v>
      </c>
      <c r="D26" s="380" t="str">
        <f>'25-08'!A4</f>
        <v>Henning B. Nielsen</v>
      </c>
      <c r="E26" s="386">
        <v>36</v>
      </c>
      <c r="F26" s="387" t="str">
        <f>D26</f>
        <v>Henning B. Nielsen</v>
      </c>
      <c r="G26" s="397">
        <v>1.09</v>
      </c>
    </row>
    <row r="27" spans="1:7" ht="16.5" thickBot="1">
      <c r="A27" s="160">
        <f>'Tourplan m. sløjfer'!A34</f>
        <v>42614</v>
      </c>
      <c r="B27" s="161">
        <f>'Tourplan m. sløjfer'!C34</f>
        <v>6000000</v>
      </c>
      <c r="C27" s="367" t="str">
        <f>'Tourplan m. sløjfer'!D34</f>
        <v>Deutsche Bank Championship</v>
      </c>
      <c r="D27" s="264" t="str">
        <f>'01-09'!A4</f>
        <v>Jesper Vohs Nielsen</v>
      </c>
      <c r="E27" s="414">
        <v>37</v>
      </c>
      <c r="F27" s="391" t="str">
        <f>'01-09'!A5</f>
        <v>Børge Heiberg</v>
      </c>
      <c r="G27" s="398"/>
    </row>
    <row r="28" spans="1:7" ht="15.75">
      <c r="A28" s="261">
        <f>'Tourplan m. sløjfer'!A35</f>
        <v>42621</v>
      </c>
      <c r="B28" s="260">
        <f>'Tourplan m. sløjfer'!C35</f>
        <v>6000000</v>
      </c>
      <c r="C28" s="259" t="str">
        <f>'Tourplan m. sløjfer'!D35</f>
        <v>BMW Championship</v>
      </c>
      <c r="D28" s="380" t="str">
        <f>'08-09'!A4</f>
        <v>Jan Hegner</v>
      </c>
      <c r="E28" s="381">
        <v>39</v>
      </c>
      <c r="F28" s="380" t="str">
        <f>'08-09'!A4</f>
        <v>Jan Hegner</v>
      </c>
      <c r="G28" s="396">
        <v>4.35</v>
      </c>
    </row>
    <row r="29" spans="1:7" ht="15.75">
      <c r="A29" s="261">
        <f>'Tourplan m. sløjfer'!A36</f>
        <v>42628</v>
      </c>
      <c r="B29" s="260">
        <f>'Tourplan m. sløjfer'!C36</f>
        <v>6000000</v>
      </c>
      <c r="C29" s="259" t="str">
        <f>'Tourplan m. sløjfer'!D36</f>
        <v>InnGolf Championship</v>
      </c>
      <c r="D29" s="380" t="str">
        <f>'15-09'!A4</f>
        <v>Erik M. Pedersen</v>
      </c>
      <c r="E29" s="399">
        <v>36</v>
      </c>
      <c r="F29" s="380" t="str">
        <f>'15-09'!A17</f>
        <v>Carsten Dahl</v>
      </c>
      <c r="G29" s="396">
        <v>7.51</v>
      </c>
    </row>
    <row r="30" spans="1:7" ht="15.75">
      <c r="A30" s="261">
        <f>'Tourplan m. sløjfer'!A37</f>
        <v>42635</v>
      </c>
      <c r="B30" s="260">
        <f>'Tourplan m. sløjfer'!C37</f>
        <v>7000000</v>
      </c>
      <c r="C30" s="259" t="str">
        <f>'Tourplan m. sløjfer'!D37</f>
        <v>TOUR Championship by Coca-Cola</v>
      </c>
      <c r="D30" s="380" t="str">
        <f>'22-09'!A4</f>
        <v>John Sørensen</v>
      </c>
      <c r="E30" s="381">
        <v>29</v>
      </c>
      <c r="F30" s="380" t="s">
        <v>100</v>
      </c>
      <c r="G30" s="396"/>
    </row>
    <row r="31" spans="1:7" ht="15.75">
      <c r="A31" s="261">
        <f>'Tourplan m. sløjfer'!A38</f>
        <v>42642</v>
      </c>
      <c r="B31" s="260">
        <f>'Tourplan m. sløjfer'!C38</f>
        <v>8000000</v>
      </c>
      <c r="C31" s="259" t="str">
        <f>'Tourplan m. sløjfer'!D38</f>
        <v>Ryder Cup</v>
      </c>
      <c r="D31" s="380" t="str">
        <f>'29-09'!A4</f>
        <v>Jens Laigaard</v>
      </c>
      <c r="E31" s="393">
        <v>27</v>
      </c>
      <c r="F31" s="380" t="str">
        <f>'29-09'!A17</f>
        <v>Claus Jessen</v>
      </c>
      <c r="G31" s="396">
        <v>0.16</v>
      </c>
    </row>
    <row r="32" spans="1:7" ht="16.5" thickBot="1">
      <c r="A32" s="160">
        <f>'Tourplan m. sløjfer'!A39</f>
        <v>42649</v>
      </c>
      <c r="B32" s="161">
        <f>'Tourplan m. sløjfer'!C39</f>
        <v>9000000</v>
      </c>
      <c r="C32" s="367" t="str">
        <f>'Tourplan m. sløjfer'!D39</f>
        <v>InnGolf Captains Cup</v>
      </c>
      <c r="D32" s="264"/>
      <c r="E32" s="265"/>
      <c r="F32" s="264"/>
      <c r="G32" s="395"/>
    </row>
    <row r="33" spans="1:7" ht="15.75">
      <c r="A33" s="261">
        <f>'Tourplan m. sløjfer'!A40</f>
        <v>42651</v>
      </c>
      <c r="B33" s="260">
        <f>'Tourplan m. sløjfer'!C40</f>
        <v>10000000</v>
      </c>
      <c r="C33" s="259" t="str">
        <f>'Tourplan m. sløjfer'!D40</f>
        <v>The InnGolf Final 2016</v>
      </c>
      <c r="D33" s="262"/>
      <c r="E33" s="366"/>
      <c r="F33" s="262"/>
      <c r="G33" s="366"/>
    </row>
    <row r="34" spans="1:7" ht="15.75">
      <c r="A34" s="126"/>
      <c r="B34" s="128"/>
      <c r="C34" s="127"/>
      <c r="E34" s="368"/>
      <c r="F34" s="369"/>
      <c r="G34" s="369"/>
    </row>
    <row r="35" spans="5:7" ht="12.75">
      <c r="E35" s="368"/>
      <c r="F35" s="369"/>
      <c r="G35" s="369"/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66FF"/>
  </sheetPr>
  <dimension ref="A1:AP31"/>
  <sheetViews>
    <sheetView zoomScale="160" zoomScaleNormal="160" zoomScalePageLayoutView="0" workbookViewId="0" topLeftCell="A1">
      <selection activeCell="Q26" sqref="Q26"/>
    </sheetView>
  </sheetViews>
  <sheetFormatPr defaultColWidth="9.140625" defaultRowHeight="12.75"/>
  <cols>
    <col min="1" max="1" width="2.140625" style="15" customWidth="1"/>
    <col min="2" max="2" width="25.00390625" style="15" customWidth="1"/>
    <col min="3" max="3" width="10.140625" style="37" bestFit="1" customWidth="1"/>
    <col min="4" max="7" width="3.421875" style="37" customWidth="1"/>
    <col min="8" max="17" width="3.421875" style="17" customWidth="1"/>
    <col min="18" max="19" width="3.421875" style="15" customWidth="1"/>
    <col min="20" max="20" width="3.421875" style="38" customWidth="1"/>
    <col min="21" max="42" width="3.421875" style="15" customWidth="1"/>
    <col min="43" max="16384" width="9.140625" style="15" customWidth="1"/>
  </cols>
  <sheetData>
    <row r="1" spans="3:41" ht="21.75" customHeight="1">
      <c r="C1" s="18" t="s">
        <v>62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O1" s="38"/>
    </row>
    <row r="2" spans="2:41" s="20" customFormat="1" ht="68.25" customHeight="1">
      <c r="B2" s="21"/>
      <c r="C2" s="51" t="s">
        <v>63</v>
      </c>
      <c r="D2" s="187">
        <v>42651</v>
      </c>
      <c r="E2" s="187">
        <v>42649</v>
      </c>
      <c r="F2" s="187">
        <v>42642</v>
      </c>
      <c r="G2" s="187">
        <v>42635</v>
      </c>
      <c r="H2" s="187">
        <v>42628</v>
      </c>
      <c r="I2" s="187">
        <v>42621</v>
      </c>
      <c r="J2" s="187">
        <v>42614</v>
      </c>
      <c r="K2" s="187">
        <v>42609</v>
      </c>
      <c r="L2" s="187">
        <v>42607</v>
      </c>
      <c r="M2" s="187">
        <v>42600</v>
      </c>
      <c r="N2" s="187">
        <v>42593</v>
      </c>
      <c r="O2" s="187">
        <v>42586</v>
      </c>
      <c r="P2" s="187">
        <v>42579</v>
      </c>
      <c r="Q2" s="187">
        <v>42572</v>
      </c>
      <c r="R2" s="187">
        <v>42565</v>
      </c>
      <c r="S2" s="187">
        <v>42558</v>
      </c>
      <c r="T2" s="187">
        <v>42551</v>
      </c>
      <c r="U2" s="187">
        <v>42544</v>
      </c>
      <c r="V2" s="187">
        <v>42537</v>
      </c>
      <c r="W2" s="187">
        <v>42530</v>
      </c>
      <c r="X2" s="187">
        <v>42523</v>
      </c>
      <c r="Y2" s="392" t="s">
        <v>257</v>
      </c>
      <c r="Z2" s="392" t="s">
        <v>256</v>
      </c>
      <c r="AA2" s="187">
        <v>42516</v>
      </c>
      <c r="AB2" s="187">
        <v>42509</v>
      </c>
      <c r="AC2" s="187">
        <v>42502</v>
      </c>
      <c r="AD2" s="187">
        <v>42495</v>
      </c>
      <c r="AE2" s="187">
        <v>42488</v>
      </c>
      <c r="AF2" s="187">
        <v>42481</v>
      </c>
      <c r="AG2" s="187">
        <v>42474</v>
      </c>
      <c r="AH2" s="187">
        <v>42467</v>
      </c>
      <c r="AI2" s="187">
        <v>42460</v>
      </c>
      <c r="AJ2" s="189" t="s">
        <v>64</v>
      </c>
      <c r="AK2" s="189" t="s">
        <v>65</v>
      </c>
      <c r="AL2" s="189" t="s">
        <v>66</v>
      </c>
      <c r="AM2" s="189" t="s">
        <v>149</v>
      </c>
      <c r="AO2" s="41"/>
    </row>
    <row r="3" spans="2:41" ht="15.75">
      <c r="B3" s="154" t="s">
        <v>49</v>
      </c>
      <c r="C3" s="155">
        <f aca="true" t="shared" si="0" ref="C3:C26">(SUM(D3:AI3)+AK3*37)/AL3</f>
        <v>30.11111111111111</v>
      </c>
      <c r="D3" s="244"/>
      <c r="E3" s="156">
        <v>31</v>
      </c>
      <c r="F3" s="156">
        <v>30</v>
      </c>
      <c r="G3" s="244">
        <v>30</v>
      </c>
      <c r="H3" s="244">
        <v>32</v>
      </c>
      <c r="I3" s="244">
        <v>29</v>
      </c>
      <c r="J3" s="244"/>
      <c r="K3" s="244"/>
      <c r="L3" s="156">
        <v>30</v>
      </c>
      <c r="M3" s="156"/>
      <c r="N3" s="156"/>
      <c r="O3" s="156"/>
      <c r="P3" s="244"/>
      <c r="Q3" s="156"/>
      <c r="R3" s="156"/>
      <c r="S3" s="244">
        <v>29</v>
      </c>
      <c r="T3" s="400"/>
      <c r="U3" s="244"/>
      <c r="V3" s="156">
        <v>30</v>
      </c>
      <c r="W3" s="156">
        <v>28</v>
      </c>
      <c r="X3" s="244"/>
      <c r="Y3" s="244">
        <v>31</v>
      </c>
      <c r="Z3" s="405" t="s">
        <v>277</v>
      </c>
      <c r="AA3" s="244">
        <v>31</v>
      </c>
      <c r="AB3" s="244">
        <v>27</v>
      </c>
      <c r="AC3" s="156">
        <v>28</v>
      </c>
      <c r="AD3" s="156">
        <v>34</v>
      </c>
      <c r="AE3" s="156">
        <v>30</v>
      </c>
      <c r="AF3" s="156">
        <v>29</v>
      </c>
      <c r="AG3" s="244">
        <v>29</v>
      </c>
      <c r="AH3" s="244">
        <v>34</v>
      </c>
      <c r="AI3" s="405" t="s">
        <v>286</v>
      </c>
      <c r="AJ3" s="42">
        <f aca="true" t="shared" si="1" ref="AJ3:AJ26">COUNTIF(D3:AI3,"&gt;0")</f>
        <v>18</v>
      </c>
      <c r="AK3" s="43">
        <f aca="true" t="shared" si="2" ref="AK3:AK26">IF(AJ3&lt;19,18-AJ3,0)</f>
        <v>0</v>
      </c>
      <c r="AL3" s="43">
        <f aca="true" t="shared" si="3" ref="AL3:AL26">SUM(AJ3:AK3)</f>
        <v>18</v>
      </c>
      <c r="AM3" s="43">
        <f aca="true" t="shared" si="4" ref="AM3:AM26">LARGE(D3:AI3,1)</f>
        <v>34</v>
      </c>
      <c r="AO3" s="38" t="str">
        <f aca="true" t="shared" si="5" ref="AO3:AO26">IF(AJ3&gt;18,"OBS"," ")</f>
        <v> </v>
      </c>
    </row>
    <row r="4" spans="2:42" s="24" customFormat="1" ht="15.75">
      <c r="B4" s="154" t="s">
        <v>31</v>
      </c>
      <c r="C4" s="155">
        <f t="shared" si="0"/>
        <v>30.5</v>
      </c>
      <c r="D4" s="244"/>
      <c r="E4" s="244">
        <v>28</v>
      </c>
      <c r="F4" s="405" t="s">
        <v>277</v>
      </c>
      <c r="G4" s="405" t="s">
        <v>277</v>
      </c>
      <c r="H4" s="156">
        <v>32</v>
      </c>
      <c r="I4" s="156">
        <v>30</v>
      </c>
      <c r="J4" s="405" t="s">
        <v>303</v>
      </c>
      <c r="K4" s="405" t="s">
        <v>277</v>
      </c>
      <c r="L4" s="156">
        <v>33</v>
      </c>
      <c r="M4" s="156">
        <v>31</v>
      </c>
      <c r="N4" s="156">
        <v>34</v>
      </c>
      <c r="O4" s="405" t="s">
        <v>277</v>
      </c>
      <c r="P4" s="405" t="s">
        <v>303</v>
      </c>
      <c r="Q4" s="156">
        <v>29</v>
      </c>
      <c r="R4" s="244">
        <v>30</v>
      </c>
      <c r="S4" s="405" t="s">
        <v>277</v>
      </c>
      <c r="T4" s="400"/>
      <c r="U4" s="156">
        <v>33</v>
      </c>
      <c r="V4" s="156">
        <v>29</v>
      </c>
      <c r="W4" s="156">
        <v>33</v>
      </c>
      <c r="X4" s="156">
        <v>31</v>
      </c>
      <c r="Y4" s="156"/>
      <c r="Z4" s="244"/>
      <c r="AA4" s="156"/>
      <c r="AB4" s="244">
        <v>22</v>
      </c>
      <c r="AC4" s="244">
        <v>32</v>
      </c>
      <c r="AD4" s="244"/>
      <c r="AE4" s="156">
        <v>30</v>
      </c>
      <c r="AF4" s="156">
        <v>30</v>
      </c>
      <c r="AG4" s="405" t="s">
        <v>307</v>
      </c>
      <c r="AH4" s="244">
        <v>31</v>
      </c>
      <c r="AI4" s="244">
        <v>31</v>
      </c>
      <c r="AJ4" s="42">
        <f t="shared" si="1"/>
        <v>18</v>
      </c>
      <c r="AK4" s="43">
        <f t="shared" si="2"/>
        <v>0</v>
      </c>
      <c r="AL4" s="43">
        <f t="shared" si="3"/>
        <v>18</v>
      </c>
      <c r="AM4" s="43">
        <f t="shared" si="4"/>
        <v>34</v>
      </c>
      <c r="AN4" s="15"/>
      <c r="AO4" s="38" t="str">
        <f t="shared" si="5"/>
        <v> </v>
      </c>
      <c r="AP4" s="15"/>
    </row>
    <row r="5" spans="2:41" ht="15.75">
      <c r="B5" s="154" t="s">
        <v>11</v>
      </c>
      <c r="C5" s="155">
        <f t="shared" si="0"/>
        <v>30.61111111111111</v>
      </c>
      <c r="D5" s="244"/>
      <c r="E5" s="156"/>
      <c r="F5" s="244">
        <v>30</v>
      </c>
      <c r="G5" s="156">
        <v>32</v>
      </c>
      <c r="H5" s="156">
        <v>32</v>
      </c>
      <c r="I5" s="156">
        <v>32</v>
      </c>
      <c r="J5" s="405" t="s">
        <v>303</v>
      </c>
      <c r="K5" s="405" t="s">
        <v>280</v>
      </c>
      <c r="L5" s="244">
        <v>29</v>
      </c>
      <c r="M5" s="405" t="s">
        <v>280</v>
      </c>
      <c r="N5" s="156">
        <v>31</v>
      </c>
      <c r="O5" s="156">
        <v>30</v>
      </c>
      <c r="P5" s="405" t="s">
        <v>303</v>
      </c>
      <c r="Q5" s="244"/>
      <c r="R5" s="156"/>
      <c r="S5" s="156">
        <v>34</v>
      </c>
      <c r="T5" s="400"/>
      <c r="U5" s="405" t="s">
        <v>286</v>
      </c>
      <c r="V5" s="244">
        <v>30</v>
      </c>
      <c r="W5" s="244">
        <v>30</v>
      </c>
      <c r="X5" s="405" t="s">
        <v>303</v>
      </c>
      <c r="Y5" s="405" t="s">
        <v>303</v>
      </c>
      <c r="Z5" s="156">
        <v>34</v>
      </c>
      <c r="AA5" s="244">
        <v>25</v>
      </c>
      <c r="AB5" s="156">
        <v>31</v>
      </c>
      <c r="AC5" s="244">
        <v>31</v>
      </c>
      <c r="AD5" s="156"/>
      <c r="AE5" s="156">
        <v>27</v>
      </c>
      <c r="AF5" s="156">
        <v>31</v>
      </c>
      <c r="AG5" s="405" t="s">
        <v>307</v>
      </c>
      <c r="AH5" s="156">
        <v>30</v>
      </c>
      <c r="AI5" s="244">
        <v>32</v>
      </c>
      <c r="AJ5" s="42">
        <f t="shared" si="1"/>
        <v>18</v>
      </c>
      <c r="AK5" s="43">
        <f t="shared" si="2"/>
        <v>0</v>
      </c>
      <c r="AL5" s="43">
        <f t="shared" si="3"/>
        <v>18</v>
      </c>
      <c r="AM5" s="43">
        <f t="shared" si="4"/>
        <v>34</v>
      </c>
      <c r="AO5" s="38" t="str">
        <f t="shared" si="5"/>
        <v> </v>
      </c>
    </row>
    <row r="6" spans="1:42" s="25" customFormat="1" ht="15.75">
      <c r="A6" s="15"/>
      <c r="B6" s="154" t="s">
        <v>19</v>
      </c>
      <c r="C6" s="155">
        <f t="shared" si="0"/>
        <v>30.88888888888889</v>
      </c>
      <c r="D6" s="156"/>
      <c r="E6" s="244">
        <v>33</v>
      </c>
      <c r="F6" s="156">
        <v>33</v>
      </c>
      <c r="G6" s="156"/>
      <c r="H6" s="244">
        <v>28</v>
      </c>
      <c r="I6" s="156">
        <v>30</v>
      </c>
      <c r="J6" s="156">
        <v>27</v>
      </c>
      <c r="K6" s="156"/>
      <c r="L6" s="405" t="s">
        <v>307</v>
      </c>
      <c r="M6" s="405" t="s">
        <v>277</v>
      </c>
      <c r="N6" s="405" t="s">
        <v>307</v>
      </c>
      <c r="O6" s="156">
        <v>31</v>
      </c>
      <c r="P6" s="156"/>
      <c r="Q6" s="156">
        <v>27</v>
      </c>
      <c r="R6" s="244">
        <v>32</v>
      </c>
      <c r="S6" s="244">
        <v>31</v>
      </c>
      <c r="T6" s="400"/>
      <c r="U6" s="244">
        <v>31</v>
      </c>
      <c r="V6" s="244">
        <v>32</v>
      </c>
      <c r="W6" s="156">
        <v>31</v>
      </c>
      <c r="X6" s="156">
        <v>30</v>
      </c>
      <c r="Y6" s="405" t="s">
        <v>303</v>
      </c>
      <c r="Z6" s="405" t="s">
        <v>277</v>
      </c>
      <c r="AA6" s="244">
        <v>32</v>
      </c>
      <c r="AB6" s="156">
        <v>32</v>
      </c>
      <c r="AC6" s="405" t="s">
        <v>277</v>
      </c>
      <c r="AD6" s="405" t="s">
        <v>303</v>
      </c>
      <c r="AE6" s="244"/>
      <c r="AF6" s="156">
        <v>30</v>
      </c>
      <c r="AG6" s="244">
        <v>33</v>
      </c>
      <c r="AH6" s="244">
        <v>33</v>
      </c>
      <c r="AI6" s="405" t="s">
        <v>342</v>
      </c>
      <c r="AJ6" s="42">
        <f t="shared" si="1"/>
        <v>18</v>
      </c>
      <c r="AK6" s="43">
        <f t="shared" si="2"/>
        <v>0</v>
      </c>
      <c r="AL6" s="43">
        <f t="shared" si="3"/>
        <v>18</v>
      </c>
      <c r="AM6" s="43">
        <f t="shared" si="4"/>
        <v>33</v>
      </c>
      <c r="AN6" s="15"/>
      <c r="AO6" s="38" t="str">
        <f t="shared" si="5"/>
        <v> </v>
      </c>
      <c r="AP6" s="15"/>
    </row>
    <row r="7" spans="1:42" s="25" customFormat="1" ht="15.75">
      <c r="A7" s="15"/>
      <c r="B7" s="154" t="s">
        <v>29</v>
      </c>
      <c r="C7" s="155">
        <f t="shared" si="0"/>
        <v>31.61111111111111</v>
      </c>
      <c r="D7" s="244"/>
      <c r="E7" s="405" t="s">
        <v>280</v>
      </c>
      <c r="F7" s="405" t="s">
        <v>277</v>
      </c>
      <c r="G7" s="244">
        <v>33</v>
      </c>
      <c r="H7" s="156">
        <v>32</v>
      </c>
      <c r="I7" s="156">
        <v>35</v>
      </c>
      <c r="J7" s="156">
        <v>33</v>
      </c>
      <c r="K7" s="405" t="s">
        <v>281</v>
      </c>
      <c r="L7" s="405" t="s">
        <v>277</v>
      </c>
      <c r="M7" s="156">
        <v>30</v>
      </c>
      <c r="N7" s="156">
        <v>30</v>
      </c>
      <c r="O7" s="405" t="s">
        <v>303</v>
      </c>
      <c r="P7" s="244">
        <v>32</v>
      </c>
      <c r="Q7" s="156">
        <v>29</v>
      </c>
      <c r="R7" s="156">
        <v>33</v>
      </c>
      <c r="S7" s="244"/>
      <c r="T7" s="400"/>
      <c r="U7" s="156">
        <v>31</v>
      </c>
      <c r="V7" s="244">
        <v>27</v>
      </c>
      <c r="W7" s="405" t="s">
        <v>277</v>
      </c>
      <c r="X7" s="156">
        <v>34</v>
      </c>
      <c r="Y7" s="156"/>
      <c r="Z7" s="156"/>
      <c r="AA7" s="156">
        <v>33</v>
      </c>
      <c r="AB7" s="156">
        <v>29</v>
      </c>
      <c r="AC7" s="405" t="s">
        <v>303</v>
      </c>
      <c r="AD7" s="405" t="s">
        <v>277</v>
      </c>
      <c r="AE7" s="244">
        <v>28</v>
      </c>
      <c r="AF7" s="244">
        <v>33</v>
      </c>
      <c r="AG7" s="405" t="s">
        <v>303</v>
      </c>
      <c r="AH7" s="244">
        <v>34</v>
      </c>
      <c r="AI7" s="244">
        <v>33</v>
      </c>
      <c r="AJ7" s="42">
        <f t="shared" si="1"/>
        <v>18</v>
      </c>
      <c r="AK7" s="43">
        <f t="shared" si="2"/>
        <v>0</v>
      </c>
      <c r="AL7" s="43">
        <f t="shared" si="3"/>
        <v>18</v>
      </c>
      <c r="AM7" s="43">
        <f t="shared" si="4"/>
        <v>35</v>
      </c>
      <c r="AN7" s="24"/>
      <c r="AO7" s="38" t="str">
        <f t="shared" si="5"/>
        <v> </v>
      </c>
      <c r="AP7" s="15"/>
    </row>
    <row r="8" spans="1:42" s="25" customFormat="1" ht="15.75">
      <c r="A8" s="15"/>
      <c r="B8" s="154" t="s">
        <v>33</v>
      </c>
      <c r="C8" s="155">
        <f t="shared" si="0"/>
        <v>31.88888888888889</v>
      </c>
      <c r="D8" s="156"/>
      <c r="E8" s="244">
        <v>34</v>
      </c>
      <c r="F8" s="244">
        <v>30</v>
      </c>
      <c r="G8" s="244">
        <v>36</v>
      </c>
      <c r="H8" s="244">
        <v>28</v>
      </c>
      <c r="I8" s="244">
        <v>34</v>
      </c>
      <c r="J8" s="156">
        <v>28</v>
      </c>
      <c r="K8" s="156">
        <v>36</v>
      </c>
      <c r="L8" s="244">
        <v>34</v>
      </c>
      <c r="M8" s="156">
        <v>31</v>
      </c>
      <c r="N8" s="156"/>
      <c r="O8" s="405" t="s">
        <v>281</v>
      </c>
      <c r="P8" s="405" t="s">
        <v>280</v>
      </c>
      <c r="Q8" s="405" t="s">
        <v>286</v>
      </c>
      <c r="R8" s="244">
        <v>30</v>
      </c>
      <c r="S8" s="156">
        <v>35</v>
      </c>
      <c r="T8" s="400"/>
      <c r="U8" s="156"/>
      <c r="V8" s="156">
        <v>27</v>
      </c>
      <c r="W8" s="156">
        <v>26</v>
      </c>
      <c r="X8" s="156">
        <v>32</v>
      </c>
      <c r="Y8" s="156">
        <v>34</v>
      </c>
      <c r="Z8" s="405" t="s">
        <v>286</v>
      </c>
      <c r="AA8" s="156"/>
      <c r="AB8" s="156"/>
      <c r="AC8" s="405" t="s">
        <v>277</v>
      </c>
      <c r="AD8" s="405" t="s">
        <v>286</v>
      </c>
      <c r="AE8" s="156">
        <v>35</v>
      </c>
      <c r="AF8" s="405" t="s">
        <v>277</v>
      </c>
      <c r="AG8" s="156"/>
      <c r="AH8" s="156">
        <v>32</v>
      </c>
      <c r="AI8" s="156">
        <v>32</v>
      </c>
      <c r="AJ8" s="42">
        <f t="shared" si="1"/>
        <v>18</v>
      </c>
      <c r="AK8" s="43">
        <f t="shared" si="2"/>
        <v>0</v>
      </c>
      <c r="AL8" s="43">
        <f t="shared" si="3"/>
        <v>18</v>
      </c>
      <c r="AM8" s="43">
        <f t="shared" si="4"/>
        <v>36</v>
      </c>
      <c r="AN8" s="15"/>
      <c r="AO8" s="38" t="str">
        <f t="shared" si="5"/>
        <v> </v>
      </c>
      <c r="AP8" s="15"/>
    </row>
    <row r="9" spans="2:41" ht="15.75">
      <c r="B9" s="154" t="s">
        <v>35</v>
      </c>
      <c r="C9" s="155">
        <f t="shared" si="0"/>
        <v>33.05555555555556</v>
      </c>
      <c r="D9" s="156"/>
      <c r="E9" s="156">
        <v>34</v>
      </c>
      <c r="F9" s="405" t="s">
        <v>275</v>
      </c>
      <c r="G9" s="405" t="s">
        <v>337</v>
      </c>
      <c r="H9" s="156"/>
      <c r="I9" s="156">
        <v>31</v>
      </c>
      <c r="J9" s="156">
        <v>32</v>
      </c>
      <c r="K9" s="156"/>
      <c r="L9" s="156">
        <v>34</v>
      </c>
      <c r="M9" s="156">
        <v>35</v>
      </c>
      <c r="N9" s="156">
        <v>34</v>
      </c>
      <c r="O9" s="156">
        <v>35</v>
      </c>
      <c r="P9" s="156"/>
      <c r="Q9" s="405" t="s">
        <v>281</v>
      </c>
      <c r="R9" s="156">
        <v>30</v>
      </c>
      <c r="S9" s="405" t="s">
        <v>276</v>
      </c>
      <c r="T9" s="400"/>
      <c r="U9" s="156"/>
      <c r="V9" s="156">
        <v>31</v>
      </c>
      <c r="W9" s="156">
        <v>34</v>
      </c>
      <c r="X9" s="405" t="s">
        <v>280</v>
      </c>
      <c r="Y9" s="405" t="s">
        <v>277</v>
      </c>
      <c r="Z9" s="244">
        <v>35</v>
      </c>
      <c r="AA9" s="244">
        <v>32</v>
      </c>
      <c r="AB9" s="156">
        <v>29</v>
      </c>
      <c r="AC9" s="156">
        <v>33</v>
      </c>
      <c r="AD9" s="156">
        <v>35</v>
      </c>
      <c r="AE9" s="244">
        <v>35</v>
      </c>
      <c r="AF9" s="244">
        <v>32</v>
      </c>
      <c r="AG9" s="405" t="s">
        <v>286</v>
      </c>
      <c r="AH9" s="405" t="s">
        <v>286</v>
      </c>
      <c r="AI9" s="244">
        <v>34</v>
      </c>
      <c r="AJ9" s="42">
        <f t="shared" si="1"/>
        <v>18</v>
      </c>
      <c r="AK9" s="43">
        <f t="shared" si="2"/>
        <v>0</v>
      </c>
      <c r="AL9" s="43">
        <f t="shared" si="3"/>
        <v>18</v>
      </c>
      <c r="AM9" s="43">
        <f t="shared" si="4"/>
        <v>35</v>
      </c>
      <c r="AO9" s="38" t="str">
        <f t="shared" si="5"/>
        <v> </v>
      </c>
    </row>
    <row r="10" spans="2:41" ht="15.75">
      <c r="B10" s="154" t="s">
        <v>39</v>
      </c>
      <c r="C10" s="155">
        <f t="shared" si="0"/>
        <v>33.22222222222222</v>
      </c>
      <c r="D10" s="156"/>
      <c r="E10" s="156">
        <v>34</v>
      </c>
      <c r="F10" s="156">
        <v>32</v>
      </c>
      <c r="G10" s="156"/>
      <c r="H10" s="156">
        <v>33</v>
      </c>
      <c r="I10" s="156">
        <v>33</v>
      </c>
      <c r="J10" s="405" t="s">
        <v>280</v>
      </c>
      <c r="K10" s="156"/>
      <c r="L10" s="156">
        <v>34</v>
      </c>
      <c r="M10" s="156">
        <v>31</v>
      </c>
      <c r="N10" s="156">
        <v>34</v>
      </c>
      <c r="O10" s="156">
        <v>37</v>
      </c>
      <c r="P10" s="156"/>
      <c r="Q10" s="156"/>
      <c r="R10" s="156"/>
      <c r="S10" s="156">
        <v>33</v>
      </c>
      <c r="T10" s="400"/>
      <c r="U10" s="156">
        <v>30</v>
      </c>
      <c r="V10" s="156">
        <v>33</v>
      </c>
      <c r="W10" s="156">
        <v>30</v>
      </c>
      <c r="X10" s="156"/>
      <c r="Y10" s="405" t="s">
        <v>281</v>
      </c>
      <c r="Z10" s="156">
        <v>33</v>
      </c>
      <c r="AA10" s="156"/>
      <c r="AB10" s="405" t="s">
        <v>286</v>
      </c>
      <c r="AC10" s="156">
        <v>35</v>
      </c>
      <c r="AD10" s="156"/>
      <c r="AE10" s="156">
        <v>34</v>
      </c>
      <c r="AF10" s="156">
        <v>36</v>
      </c>
      <c r="AG10" s="244">
        <v>30</v>
      </c>
      <c r="AH10" s="156">
        <v>36</v>
      </c>
      <c r="AI10" s="244"/>
      <c r="AJ10" s="42">
        <f t="shared" si="1"/>
        <v>18</v>
      </c>
      <c r="AK10" s="43">
        <f t="shared" si="2"/>
        <v>0</v>
      </c>
      <c r="AL10" s="43">
        <f t="shared" si="3"/>
        <v>18</v>
      </c>
      <c r="AM10" s="43">
        <f t="shared" si="4"/>
        <v>37</v>
      </c>
      <c r="AO10" s="38" t="str">
        <f t="shared" si="5"/>
        <v> </v>
      </c>
    </row>
    <row r="11" spans="2:41" ht="15.75">
      <c r="B11" s="154" t="s">
        <v>15</v>
      </c>
      <c r="C11" s="155">
        <f t="shared" si="0"/>
        <v>33.388888888888886</v>
      </c>
      <c r="D11" s="156"/>
      <c r="E11" s="244">
        <v>28</v>
      </c>
      <c r="F11" s="244"/>
      <c r="G11" s="244">
        <v>30</v>
      </c>
      <c r="H11" s="244">
        <v>28</v>
      </c>
      <c r="I11" s="244">
        <v>29</v>
      </c>
      <c r="J11" s="244">
        <v>36</v>
      </c>
      <c r="K11" s="244">
        <v>34</v>
      </c>
      <c r="L11" s="244">
        <v>29</v>
      </c>
      <c r="M11" s="156">
        <v>39</v>
      </c>
      <c r="N11" s="156">
        <v>33</v>
      </c>
      <c r="O11" s="244">
        <v>34</v>
      </c>
      <c r="P11" s="156">
        <v>34</v>
      </c>
      <c r="Q11" s="156"/>
      <c r="R11" s="156"/>
      <c r="S11" s="156"/>
      <c r="T11" s="400"/>
      <c r="U11" s="156"/>
      <c r="V11" s="244"/>
      <c r="W11" s="156">
        <v>34</v>
      </c>
      <c r="X11" s="405" t="s">
        <v>281</v>
      </c>
      <c r="Y11" s="156">
        <v>37</v>
      </c>
      <c r="Z11" s="156">
        <v>36</v>
      </c>
      <c r="AA11" s="156"/>
      <c r="AB11" s="156">
        <v>34</v>
      </c>
      <c r="AC11" s="156"/>
      <c r="AD11" s="156"/>
      <c r="AE11" s="156"/>
      <c r="AF11" s="156">
        <v>32</v>
      </c>
      <c r="AG11" s="156">
        <v>37</v>
      </c>
      <c r="AH11" s="156"/>
      <c r="AI11" s="156">
        <v>37</v>
      </c>
      <c r="AJ11" s="42">
        <f t="shared" si="1"/>
        <v>18</v>
      </c>
      <c r="AK11" s="43">
        <f t="shared" si="2"/>
        <v>0</v>
      </c>
      <c r="AL11" s="43">
        <f t="shared" si="3"/>
        <v>18</v>
      </c>
      <c r="AM11" s="43">
        <f t="shared" si="4"/>
        <v>39</v>
      </c>
      <c r="AO11" s="38" t="str">
        <f t="shared" si="5"/>
        <v> </v>
      </c>
    </row>
    <row r="12" spans="2:41" ht="15.75">
      <c r="B12" s="154" t="s">
        <v>13</v>
      </c>
      <c r="C12" s="155">
        <f t="shared" si="0"/>
        <v>33.5</v>
      </c>
      <c r="D12" s="244"/>
      <c r="E12" s="244">
        <v>33</v>
      </c>
      <c r="F12" s="156"/>
      <c r="G12" s="156">
        <v>32</v>
      </c>
      <c r="H12" s="156">
        <v>35</v>
      </c>
      <c r="I12" s="156"/>
      <c r="J12" s="244">
        <v>34</v>
      </c>
      <c r="K12" s="244"/>
      <c r="L12" s="244"/>
      <c r="M12" s="156"/>
      <c r="N12" s="156">
        <v>38</v>
      </c>
      <c r="O12" s="244">
        <v>33</v>
      </c>
      <c r="P12" s="244"/>
      <c r="Q12" s="244"/>
      <c r="R12" s="156">
        <v>27</v>
      </c>
      <c r="S12" s="244"/>
      <c r="T12" s="400"/>
      <c r="U12" s="156"/>
      <c r="V12" s="244">
        <v>35</v>
      </c>
      <c r="W12" s="156">
        <v>34</v>
      </c>
      <c r="X12" s="244">
        <v>37</v>
      </c>
      <c r="Y12" s="156">
        <v>36</v>
      </c>
      <c r="Z12" s="156">
        <v>32</v>
      </c>
      <c r="AA12" s="156">
        <v>36</v>
      </c>
      <c r="AB12" s="156">
        <v>33</v>
      </c>
      <c r="AC12" s="156"/>
      <c r="AD12" s="156">
        <v>30</v>
      </c>
      <c r="AE12" s="244">
        <v>38</v>
      </c>
      <c r="AF12" s="156"/>
      <c r="AG12" s="156">
        <v>27</v>
      </c>
      <c r="AH12" s="244"/>
      <c r="AI12" s="156">
        <v>33</v>
      </c>
      <c r="AJ12" s="42">
        <f t="shared" si="1"/>
        <v>18</v>
      </c>
      <c r="AK12" s="43">
        <f t="shared" si="2"/>
        <v>0</v>
      </c>
      <c r="AL12" s="43">
        <f t="shared" si="3"/>
        <v>18</v>
      </c>
      <c r="AM12" s="43">
        <f t="shared" si="4"/>
        <v>38</v>
      </c>
      <c r="AO12" s="38" t="str">
        <f t="shared" si="5"/>
        <v> </v>
      </c>
    </row>
    <row r="13" spans="2:41" ht="15.75">
      <c r="B13" s="154" t="s">
        <v>43</v>
      </c>
      <c r="C13" s="155">
        <f t="shared" si="0"/>
        <v>33.5</v>
      </c>
      <c r="D13" s="156"/>
      <c r="E13" s="156">
        <v>31</v>
      </c>
      <c r="F13" s="405" t="s">
        <v>280</v>
      </c>
      <c r="G13" s="156">
        <v>35</v>
      </c>
      <c r="H13" s="156">
        <v>36</v>
      </c>
      <c r="I13" s="156">
        <v>34</v>
      </c>
      <c r="J13" s="156">
        <v>36</v>
      </c>
      <c r="K13" s="156">
        <v>36</v>
      </c>
      <c r="L13" s="405" t="s">
        <v>286</v>
      </c>
      <c r="M13" s="156">
        <v>28</v>
      </c>
      <c r="N13" s="156">
        <v>30</v>
      </c>
      <c r="O13" s="405" t="s">
        <v>273</v>
      </c>
      <c r="P13" s="156">
        <v>34</v>
      </c>
      <c r="Q13" s="156"/>
      <c r="R13" s="156">
        <v>32</v>
      </c>
      <c r="S13" s="405" t="s">
        <v>286</v>
      </c>
      <c r="T13" s="400"/>
      <c r="U13" s="156">
        <v>34</v>
      </c>
      <c r="V13" s="156">
        <v>36</v>
      </c>
      <c r="W13" s="405" t="s">
        <v>286</v>
      </c>
      <c r="X13" s="405" t="s">
        <v>286</v>
      </c>
      <c r="Y13" s="405" t="s">
        <v>280</v>
      </c>
      <c r="Z13" s="244">
        <v>36</v>
      </c>
      <c r="AA13" s="244">
        <v>31</v>
      </c>
      <c r="AB13" s="405" t="s">
        <v>275</v>
      </c>
      <c r="AC13" s="244">
        <v>36</v>
      </c>
      <c r="AD13" s="156">
        <v>32</v>
      </c>
      <c r="AE13" s="156">
        <v>31</v>
      </c>
      <c r="AF13" s="405" t="s">
        <v>275</v>
      </c>
      <c r="AG13" s="405" t="s">
        <v>286</v>
      </c>
      <c r="AH13" s="405" t="s">
        <v>281</v>
      </c>
      <c r="AI13" s="244">
        <v>35</v>
      </c>
      <c r="AJ13" s="42">
        <f t="shared" si="1"/>
        <v>18</v>
      </c>
      <c r="AK13" s="43">
        <f t="shared" si="2"/>
        <v>0</v>
      </c>
      <c r="AL13" s="43">
        <f t="shared" si="3"/>
        <v>18</v>
      </c>
      <c r="AM13" s="43">
        <f t="shared" si="4"/>
        <v>36</v>
      </c>
      <c r="AN13" s="25"/>
      <c r="AO13" s="38" t="str">
        <f t="shared" si="5"/>
        <v> </v>
      </c>
    </row>
    <row r="14" spans="2:41" ht="15.75">
      <c r="B14" s="154" t="s">
        <v>9</v>
      </c>
      <c r="C14" s="155">
        <f t="shared" si="0"/>
        <v>33.94444444444444</v>
      </c>
      <c r="D14" s="156"/>
      <c r="E14" s="156">
        <v>36</v>
      </c>
      <c r="F14" s="156">
        <v>30</v>
      </c>
      <c r="G14" s="156">
        <v>35</v>
      </c>
      <c r="H14" s="156">
        <v>34</v>
      </c>
      <c r="I14" s="156"/>
      <c r="J14" s="156">
        <v>34</v>
      </c>
      <c r="K14" s="156"/>
      <c r="L14" s="156">
        <v>33</v>
      </c>
      <c r="M14" s="156">
        <v>35</v>
      </c>
      <c r="N14" s="156">
        <v>33</v>
      </c>
      <c r="O14" s="405" t="s">
        <v>281</v>
      </c>
      <c r="P14" s="156">
        <v>32</v>
      </c>
      <c r="Q14" s="156">
        <v>34</v>
      </c>
      <c r="R14" s="156">
        <v>36</v>
      </c>
      <c r="S14" s="156"/>
      <c r="T14" s="400"/>
      <c r="U14" s="156">
        <v>37</v>
      </c>
      <c r="V14" s="156"/>
      <c r="W14" s="156">
        <v>35</v>
      </c>
      <c r="X14" s="156"/>
      <c r="Y14" s="156"/>
      <c r="Z14" s="156"/>
      <c r="AA14" s="405" t="s">
        <v>280</v>
      </c>
      <c r="AB14" s="156">
        <v>32</v>
      </c>
      <c r="AC14" s="156">
        <v>32</v>
      </c>
      <c r="AD14" s="156"/>
      <c r="AE14" s="156">
        <v>37</v>
      </c>
      <c r="AF14" s="156">
        <v>30</v>
      </c>
      <c r="AG14" s="156">
        <v>36</v>
      </c>
      <c r="AH14" s="405" t="s">
        <v>281</v>
      </c>
      <c r="AI14" s="405" t="s">
        <v>280</v>
      </c>
      <c r="AJ14" s="42">
        <f t="shared" si="1"/>
        <v>18</v>
      </c>
      <c r="AK14" s="43">
        <f t="shared" si="2"/>
        <v>0</v>
      </c>
      <c r="AL14" s="43">
        <f t="shared" si="3"/>
        <v>18</v>
      </c>
      <c r="AM14" s="43">
        <f t="shared" si="4"/>
        <v>37</v>
      </c>
      <c r="AO14" s="38" t="str">
        <f t="shared" si="5"/>
        <v> </v>
      </c>
    </row>
    <row r="15" spans="1:42" s="25" customFormat="1" ht="15.75">
      <c r="A15" s="15"/>
      <c r="B15" s="154" t="s">
        <v>172</v>
      </c>
      <c r="C15" s="155">
        <f t="shared" si="0"/>
        <v>34.166666666666664</v>
      </c>
      <c r="D15" s="156"/>
      <c r="E15" s="156"/>
      <c r="F15" s="156"/>
      <c r="G15" s="156">
        <v>33</v>
      </c>
      <c r="H15" s="156">
        <v>34</v>
      </c>
      <c r="I15" s="156">
        <v>32</v>
      </c>
      <c r="J15" s="156"/>
      <c r="K15" s="156"/>
      <c r="L15" s="156"/>
      <c r="M15" s="156">
        <v>33</v>
      </c>
      <c r="N15" s="156"/>
      <c r="O15" s="156">
        <v>32</v>
      </c>
      <c r="P15" s="156"/>
      <c r="Q15" s="156"/>
      <c r="R15" s="156"/>
      <c r="S15" s="156">
        <v>35</v>
      </c>
      <c r="T15" s="400"/>
      <c r="U15" s="156"/>
      <c r="V15" s="156"/>
      <c r="W15" s="156"/>
      <c r="X15" s="156">
        <v>38</v>
      </c>
      <c r="Y15" s="156">
        <v>37</v>
      </c>
      <c r="Z15" s="156">
        <v>30</v>
      </c>
      <c r="AA15" s="156">
        <v>25</v>
      </c>
      <c r="AB15" s="156"/>
      <c r="AC15" s="156"/>
      <c r="AD15" s="156"/>
      <c r="AE15" s="156">
        <v>29</v>
      </c>
      <c r="AF15" s="156">
        <v>36</v>
      </c>
      <c r="AG15" s="156"/>
      <c r="AH15" s="156"/>
      <c r="AI15" s="156">
        <v>36</v>
      </c>
      <c r="AJ15" s="42">
        <f t="shared" si="1"/>
        <v>13</v>
      </c>
      <c r="AK15" s="43">
        <f t="shared" si="2"/>
        <v>5</v>
      </c>
      <c r="AL15" s="43">
        <f t="shared" si="3"/>
        <v>18</v>
      </c>
      <c r="AM15" s="43">
        <f t="shared" si="4"/>
        <v>38</v>
      </c>
      <c r="AN15" s="15"/>
      <c r="AO15" s="38" t="str">
        <f t="shared" si="5"/>
        <v> </v>
      </c>
      <c r="AP15" s="15"/>
    </row>
    <row r="16" spans="2:41" ht="15.75">
      <c r="B16" s="154" t="s">
        <v>45</v>
      </c>
      <c r="C16" s="155">
        <f t="shared" si="0"/>
        <v>34.388888888888886</v>
      </c>
      <c r="D16" s="156"/>
      <c r="E16" s="156"/>
      <c r="F16" s="156">
        <v>33</v>
      </c>
      <c r="G16" s="156"/>
      <c r="H16" s="156"/>
      <c r="I16" s="156">
        <v>38</v>
      </c>
      <c r="J16" s="156">
        <v>32</v>
      </c>
      <c r="K16" s="156">
        <v>35</v>
      </c>
      <c r="L16" s="156">
        <v>35</v>
      </c>
      <c r="M16" s="405" t="s">
        <v>275</v>
      </c>
      <c r="N16" s="156">
        <v>37</v>
      </c>
      <c r="O16" s="156"/>
      <c r="P16" s="156"/>
      <c r="Q16" s="156"/>
      <c r="R16" s="156"/>
      <c r="S16" s="156">
        <v>32</v>
      </c>
      <c r="T16" s="400"/>
      <c r="U16" s="156"/>
      <c r="V16" s="156"/>
      <c r="W16" s="156">
        <v>35</v>
      </c>
      <c r="X16" s="156">
        <v>37</v>
      </c>
      <c r="Y16" s="156">
        <v>34</v>
      </c>
      <c r="Z16" s="156">
        <v>36</v>
      </c>
      <c r="AA16" s="244">
        <v>34</v>
      </c>
      <c r="AB16" s="156">
        <v>37</v>
      </c>
      <c r="AC16" s="156">
        <v>33</v>
      </c>
      <c r="AD16" s="156">
        <v>32</v>
      </c>
      <c r="AE16" s="244"/>
      <c r="AF16" s="156">
        <v>30</v>
      </c>
      <c r="AG16" s="156"/>
      <c r="AH16" s="156">
        <v>35</v>
      </c>
      <c r="AI16" s="156">
        <v>34</v>
      </c>
      <c r="AJ16" s="42">
        <f t="shared" si="1"/>
        <v>18</v>
      </c>
      <c r="AK16" s="43">
        <f t="shared" si="2"/>
        <v>0</v>
      </c>
      <c r="AL16" s="43">
        <f t="shared" si="3"/>
        <v>18</v>
      </c>
      <c r="AM16" s="43">
        <f t="shared" si="4"/>
        <v>38</v>
      </c>
      <c r="AO16" s="38" t="str">
        <f t="shared" si="5"/>
        <v> </v>
      </c>
    </row>
    <row r="17" spans="1:41" ht="15.75">
      <c r="A17" s="25"/>
      <c r="B17" s="154" t="s">
        <v>53</v>
      </c>
      <c r="C17" s="155">
        <f t="shared" si="0"/>
        <v>34.55555555555556</v>
      </c>
      <c r="D17" s="156"/>
      <c r="E17" s="156"/>
      <c r="F17" s="156"/>
      <c r="G17" s="156"/>
      <c r="H17" s="156"/>
      <c r="I17" s="156">
        <v>36</v>
      </c>
      <c r="J17" s="156"/>
      <c r="K17" s="156"/>
      <c r="L17" s="156"/>
      <c r="M17" s="156"/>
      <c r="N17" s="156">
        <v>32</v>
      </c>
      <c r="O17" s="156"/>
      <c r="P17" s="156">
        <v>35</v>
      </c>
      <c r="Q17" s="156"/>
      <c r="R17" s="156">
        <v>37</v>
      </c>
      <c r="S17" s="156">
        <v>29</v>
      </c>
      <c r="T17" s="400"/>
      <c r="U17" s="156"/>
      <c r="V17" s="156">
        <v>35</v>
      </c>
      <c r="W17" s="156">
        <v>36</v>
      </c>
      <c r="X17" s="156"/>
      <c r="Y17" s="156">
        <v>31</v>
      </c>
      <c r="Z17" s="156">
        <v>38</v>
      </c>
      <c r="AA17" s="156"/>
      <c r="AB17" s="156">
        <v>34</v>
      </c>
      <c r="AC17" s="156">
        <v>31</v>
      </c>
      <c r="AD17" s="156">
        <v>33</v>
      </c>
      <c r="AE17" s="156">
        <v>33</v>
      </c>
      <c r="AF17" s="156"/>
      <c r="AG17" s="156">
        <v>37</v>
      </c>
      <c r="AH17" s="156"/>
      <c r="AI17" s="156">
        <v>34</v>
      </c>
      <c r="AJ17" s="42">
        <f t="shared" si="1"/>
        <v>15</v>
      </c>
      <c r="AK17" s="43">
        <f t="shared" si="2"/>
        <v>3</v>
      </c>
      <c r="AL17" s="43">
        <f t="shared" si="3"/>
        <v>18</v>
      </c>
      <c r="AM17" s="43">
        <f t="shared" si="4"/>
        <v>38</v>
      </c>
      <c r="AO17" s="38" t="str">
        <f t="shared" si="5"/>
        <v> </v>
      </c>
    </row>
    <row r="18" spans="2:41" ht="15.75">
      <c r="B18" s="154" t="s">
        <v>37</v>
      </c>
      <c r="C18" s="155">
        <f t="shared" si="0"/>
        <v>35.22222222222222</v>
      </c>
      <c r="D18" s="156"/>
      <c r="E18" s="156"/>
      <c r="F18" s="156"/>
      <c r="G18" s="156">
        <v>33</v>
      </c>
      <c r="H18" s="156">
        <v>38</v>
      </c>
      <c r="I18" s="244"/>
      <c r="J18" s="156">
        <v>32</v>
      </c>
      <c r="K18" s="156">
        <v>34</v>
      </c>
      <c r="L18" s="156">
        <v>38</v>
      </c>
      <c r="M18" s="156">
        <v>37</v>
      </c>
      <c r="N18" s="156">
        <v>31</v>
      </c>
      <c r="O18" s="156"/>
      <c r="P18" s="156">
        <v>34</v>
      </c>
      <c r="Q18" s="156"/>
      <c r="R18" s="156">
        <v>35</v>
      </c>
      <c r="S18" s="156">
        <v>34</v>
      </c>
      <c r="T18" s="400"/>
      <c r="U18" s="156">
        <v>32</v>
      </c>
      <c r="V18" s="156"/>
      <c r="W18" s="156">
        <v>39</v>
      </c>
      <c r="X18" s="156"/>
      <c r="Y18" s="156"/>
      <c r="Z18" s="156"/>
      <c r="AA18" s="156">
        <v>31</v>
      </c>
      <c r="AB18" s="156">
        <v>36</v>
      </c>
      <c r="AC18" s="156"/>
      <c r="AD18" s="156"/>
      <c r="AE18" s="156">
        <v>37</v>
      </c>
      <c r="AF18" s="156"/>
      <c r="AG18" s="156"/>
      <c r="AH18" s="156">
        <v>39</v>
      </c>
      <c r="AI18" s="244"/>
      <c r="AJ18" s="42">
        <f t="shared" si="1"/>
        <v>16</v>
      </c>
      <c r="AK18" s="43">
        <f t="shared" si="2"/>
        <v>2</v>
      </c>
      <c r="AL18" s="43">
        <f t="shared" si="3"/>
        <v>18</v>
      </c>
      <c r="AM18" s="43">
        <f t="shared" si="4"/>
        <v>39</v>
      </c>
      <c r="AN18" s="25"/>
      <c r="AO18" s="38" t="str">
        <f t="shared" si="5"/>
        <v> </v>
      </c>
    </row>
    <row r="19" spans="2:41" ht="15.75">
      <c r="B19" s="154" t="s">
        <v>25</v>
      </c>
      <c r="C19" s="155">
        <f t="shared" si="0"/>
        <v>35.5</v>
      </c>
      <c r="D19" s="156"/>
      <c r="E19" s="156">
        <v>34</v>
      </c>
      <c r="F19" s="156"/>
      <c r="G19" s="156"/>
      <c r="H19" s="156"/>
      <c r="I19" s="156"/>
      <c r="J19" s="156"/>
      <c r="K19" s="156"/>
      <c r="L19" s="156">
        <v>31</v>
      </c>
      <c r="M19" s="156"/>
      <c r="N19" s="156"/>
      <c r="O19" s="156">
        <v>40</v>
      </c>
      <c r="P19" s="156">
        <v>34</v>
      </c>
      <c r="Q19" s="156"/>
      <c r="R19" s="156"/>
      <c r="S19" s="156">
        <v>36</v>
      </c>
      <c r="T19" s="400"/>
      <c r="U19" s="156">
        <v>37</v>
      </c>
      <c r="V19" s="156"/>
      <c r="W19" s="156">
        <v>37</v>
      </c>
      <c r="X19" s="156"/>
      <c r="Y19" s="156"/>
      <c r="Z19" s="156"/>
      <c r="AA19" s="156">
        <v>27</v>
      </c>
      <c r="AB19" s="156">
        <v>32</v>
      </c>
      <c r="AC19" s="156">
        <v>36</v>
      </c>
      <c r="AD19" s="156"/>
      <c r="AE19" s="156">
        <v>32</v>
      </c>
      <c r="AF19" s="156"/>
      <c r="AG19" s="156">
        <v>38</v>
      </c>
      <c r="AH19" s="156"/>
      <c r="AI19" s="156">
        <v>40</v>
      </c>
      <c r="AJ19" s="42">
        <f t="shared" si="1"/>
        <v>13</v>
      </c>
      <c r="AK19" s="43">
        <f t="shared" si="2"/>
        <v>5</v>
      </c>
      <c r="AL19" s="43">
        <f t="shared" si="3"/>
        <v>18</v>
      </c>
      <c r="AM19" s="43">
        <f t="shared" si="4"/>
        <v>40</v>
      </c>
      <c r="AO19" s="38" t="str">
        <f t="shared" si="5"/>
        <v> </v>
      </c>
    </row>
    <row r="20" spans="2:41" ht="15.75">
      <c r="B20" s="154" t="s">
        <v>27</v>
      </c>
      <c r="C20" s="155">
        <f t="shared" si="0"/>
        <v>36.22222222222222</v>
      </c>
      <c r="D20" s="156"/>
      <c r="E20" s="156"/>
      <c r="F20" s="156"/>
      <c r="G20" s="244">
        <v>33</v>
      </c>
      <c r="H20" s="156">
        <v>32</v>
      </c>
      <c r="I20" s="156"/>
      <c r="J20" s="244">
        <v>37</v>
      </c>
      <c r="K20" s="244"/>
      <c r="L20" s="156"/>
      <c r="M20" s="156"/>
      <c r="N20" s="156"/>
      <c r="O20" s="156">
        <v>38</v>
      </c>
      <c r="P20" s="156">
        <v>32</v>
      </c>
      <c r="Q20" s="156">
        <v>39</v>
      </c>
      <c r="R20" s="156">
        <v>39</v>
      </c>
      <c r="S20" s="156">
        <v>34</v>
      </c>
      <c r="T20" s="400"/>
      <c r="U20" s="244"/>
      <c r="V20" s="156">
        <v>28</v>
      </c>
      <c r="W20" s="156">
        <v>38</v>
      </c>
      <c r="X20" s="156">
        <v>36</v>
      </c>
      <c r="Y20" s="405" t="s">
        <v>336</v>
      </c>
      <c r="Z20" s="156">
        <v>43</v>
      </c>
      <c r="AA20" s="156"/>
      <c r="AB20" s="156">
        <v>34</v>
      </c>
      <c r="AC20" s="156">
        <v>40</v>
      </c>
      <c r="AD20" s="156"/>
      <c r="AE20" s="156"/>
      <c r="AF20" s="156">
        <v>37</v>
      </c>
      <c r="AG20" s="156">
        <v>27</v>
      </c>
      <c r="AH20" s="156">
        <v>41</v>
      </c>
      <c r="AI20" s="156">
        <v>44</v>
      </c>
      <c r="AJ20" s="42">
        <f t="shared" si="1"/>
        <v>18</v>
      </c>
      <c r="AK20" s="43">
        <f t="shared" si="2"/>
        <v>0</v>
      </c>
      <c r="AL20" s="43">
        <f t="shared" si="3"/>
        <v>18</v>
      </c>
      <c r="AM20" s="43">
        <f t="shared" si="4"/>
        <v>44</v>
      </c>
      <c r="AO20" s="38" t="str">
        <f t="shared" si="5"/>
        <v> </v>
      </c>
    </row>
    <row r="21" spans="2:41" ht="15.75">
      <c r="B21" s="154" t="s">
        <v>23</v>
      </c>
      <c r="C21" s="155">
        <f t="shared" si="0"/>
        <v>36.22222222222222</v>
      </c>
      <c r="D21" s="156"/>
      <c r="E21" s="156">
        <v>34</v>
      </c>
      <c r="F21" s="156"/>
      <c r="G21" s="156">
        <v>39</v>
      </c>
      <c r="H21" s="156">
        <v>34</v>
      </c>
      <c r="I21" s="156"/>
      <c r="J21" s="156"/>
      <c r="K21" s="156"/>
      <c r="L21" s="156">
        <v>32</v>
      </c>
      <c r="M21" s="156"/>
      <c r="N21" s="156">
        <v>41</v>
      </c>
      <c r="O21" s="156"/>
      <c r="P21" s="156"/>
      <c r="Q21" s="156"/>
      <c r="R21" s="156"/>
      <c r="S21" s="156"/>
      <c r="T21" s="400"/>
      <c r="U21" s="156">
        <v>41</v>
      </c>
      <c r="V21" s="156">
        <v>36</v>
      </c>
      <c r="W21" s="156"/>
      <c r="X21" s="156">
        <v>39</v>
      </c>
      <c r="Y21" s="156"/>
      <c r="Z21" s="156">
        <v>38</v>
      </c>
      <c r="AA21" s="156">
        <v>36</v>
      </c>
      <c r="AB21" s="156"/>
      <c r="AC21" s="156">
        <v>30</v>
      </c>
      <c r="AD21" s="156"/>
      <c r="AE21" s="156">
        <v>38</v>
      </c>
      <c r="AF21" s="156"/>
      <c r="AG21" s="156">
        <v>31</v>
      </c>
      <c r="AH21" s="156">
        <v>35</v>
      </c>
      <c r="AI21" s="156"/>
      <c r="AJ21" s="42">
        <f t="shared" si="1"/>
        <v>14</v>
      </c>
      <c r="AK21" s="43">
        <f t="shared" si="2"/>
        <v>4</v>
      </c>
      <c r="AL21" s="43">
        <f t="shared" si="3"/>
        <v>18</v>
      </c>
      <c r="AM21" s="43">
        <f t="shared" si="4"/>
        <v>41</v>
      </c>
      <c r="AO21" s="38" t="str">
        <f t="shared" si="5"/>
        <v> </v>
      </c>
    </row>
    <row r="22" spans="2:41" ht="15.75">
      <c r="B22" s="154" t="s">
        <v>41</v>
      </c>
      <c r="C22" s="155">
        <f t="shared" si="0"/>
        <v>36.333333333333336</v>
      </c>
      <c r="D22" s="156"/>
      <c r="E22" s="156">
        <v>36</v>
      </c>
      <c r="F22" s="156">
        <v>38</v>
      </c>
      <c r="G22" s="156">
        <v>36</v>
      </c>
      <c r="H22" s="244">
        <v>35</v>
      </c>
      <c r="I22" s="244">
        <v>34</v>
      </c>
      <c r="J22" s="156">
        <v>35</v>
      </c>
      <c r="K22" s="156"/>
      <c r="L22" s="156">
        <v>36</v>
      </c>
      <c r="M22" s="156"/>
      <c r="N22" s="156">
        <v>36</v>
      </c>
      <c r="O22" s="405" t="s">
        <v>343</v>
      </c>
      <c r="P22" s="156">
        <v>39</v>
      </c>
      <c r="Q22" s="156"/>
      <c r="R22" s="156"/>
      <c r="S22" s="156"/>
      <c r="T22" s="400"/>
      <c r="U22" s="156">
        <v>43</v>
      </c>
      <c r="V22" s="156">
        <v>36</v>
      </c>
      <c r="W22" s="156">
        <v>35</v>
      </c>
      <c r="X22" s="156"/>
      <c r="Y22" s="156"/>
      <c r="Z22" s="156"/>
      <c r="AA22" s="244">
        <v>30</v>
      </c>
      <c r="AB22" s="156">
        <v>37</v>
      </c>
      <c r="AC22" s="156"/>
      <c r="AD22" s="156">
        <v>35</v>
      </c>
      <c r="AE22" s="156"/>
      <c r="AF22" s="156">
        <v>36</v>
      </c>
      <c r="AG22" s="156">
        <v>34</v>
      </c>
      <c r="AH22" s="156">
        <v>43</v>
      </c>
      <c r="AI22" s="156"/>
      <c r="AJ22" s="42">
        <f t="shared" si="1"/>
        <v>18</v>
      </c>
      <c r="AK22" s="43">
        <f t="shared" si="2"/>
        <v>0</v>
      </c>
      <c r="AL22" s="43">
        <f t="shared" si="3"/>
        <v>18</v>
      </c>
      <c r="AM22" s="43">
        <f t="shared" si="4"/>
        <v>43</v>
      </c>
      <c r="AO22" s="38" t="str">
        <f t="shared" si="5"/>
        <v> </v>
      </c>
    </row>
    <row r="23" spans="2:41" ht="15.75">
      <c r="B23" s="154" t="s">
        <v>21</v>
      </c>
      <c r="C23" s="155">
        <f t="shared" si="0"/>
        <v>36.388888888888886</v>
      </c>
      <c r="D23" s="156"/>
      <c r="E23" s="244"/>
      <c r="F23" s="156">
        <v>41</v>
      </c>
      <c r="G23" s="156"/>
      <c r="H23" s="156"/>
      <c r="I23" s="156"/>
      <c r="J23" s="156">
        <v>31</v>
      </c>
      <c r="K23" s="156"/>
      <c r="L23" s="156"/>
      <c r="M23" s="156"/>
      <c r="N23" s="244"/>
      <c r="O23" s="156">
        <v>27</v>
      </c>
      <c r="P23" s="156"/>
      <c r="Q23" s="156"/>
      <c r="R23" s="156"/>
      <c r="S23" s="156"/>
      <c r="T23" s="400"/>
      <c r="U23" s="244"/>
      <c r="V23" s="156">
        <v>34</v>
      </c>
      <c r="W23" s="156">
        <v>38</v>
      </c>
      <c r="X23" s="156"/>
      <c r="Y23" s="156"/>
      <c r="Z23" s="156"/>
      <c r="AA23" s="244"/>
      <c r="AB23" s="156"/>
      <c r="AC23" s="156"/>
      <c r="AD23" s="156"/>
      <c r="AE23" s="244"/>
      <c r="AF23" s="156">
        <v>40</v>
      </c>
      <c r="AG23" s="244"/>
      <c r="AH23" s="156"/>
      <c r="AI23" s="244"/>
      <c r="AJ23" s="42">
        <f t="shared" si="1"/>
        <v>6</v>
      </c>
      <c r="AK23" s="43">
        <f t="shared" si="2"/>
        <v>12</v>
      </c>
      <c r="AL23" s="43">
        <f t="shared" si="3"/>
        <v>18</v>
      </c>
      <c r="AM23" s="43">
        <f t="shared" si="4"/>
        <v>41</v>
      </c>
      <c r="AO23" s="38" t="str">
        <f t="shared" si="5"/>
        <v> </v>
      </c>
    </row>
    <row r="24" spans="2:41" ht="15.75">
      <c r="B24" s="154" t="s">
        <v>51</v>
      </c>
      <c r="C24" s="155">
        <f t="shared" si="0"/>
        <v>37</v>
      </c>
      <c r="D24" s="156"/>
      <c r="E24" s="156"/>
      <c r="F24" s="156"/>
      <c r="G24" s="156"/>
      <c r="H24" s="156">
        <v>35</v>
      </c>
      <c r="I24" s="156">
        <v>36</v>
      </c>
      <c r="J24" s="156"/>
      <c r="K24" s="156"/>
      <c r="L24" s="156"/>
      <c r="M24" s="156">
        <v>38</v>
      </c>
      <c r="N24" s="156">
        <v>45</v>
      </c>
      <c r="O24" s="244"/>
      <c r="P24" s="156"/>
      <c r="Q24" s="156"/>
      <c r="R24" s="156">
        <v>35</v>
      </c>
      <c r="S24" s="156">
        <v>39</v>
      </c>
      <c r="T24" s="400"/>
      <c r="U24" s="156"/>
      <c r="V24" s="156">
        <v>32</v>
      </c>
      <c r="W24" s="156"/>
      <c r="X24" s="156"/>
      <c r="Y24" s="156">
        <v>43</v>
      </c>
      <c r="Z24" s="156">
        <v>39</v>
      </c>
      <c r="AA24" s="156">
        <v>29</v>
      </c>
      <c r="AB24" s="156">
        <v>36</v>
      </c>
      <c r="AC24" s="156"/>
      <c r="AD24" s="156"/>
      <c r="AE24" s="156"/>
      <c r="AF24" s="156">
        <v>39</v>
      </c>
      <c r="AG24" s="156">
        <v>35</v>
      </c>
      <c r="AH24" s="156"/>
      <c r="AI24" s="244">
        <v>37</v>
      </c>
      <c r="AJ24" s="42">
        <f t="shared" si="1"/>
        <v>14</v>
      </c>
      <c r="AK24" s="43">
        <f t="shared" si="2"/>
        <v>4</v>
      </c>
      <c r="AL24" s="43">
        <f t="shared" si="3"/>
        <v>18</v>
      </c>
      <c r="AM24" s="43">
        <f t="shared" si="4"/>
        <v>45</v>
      </c>
      <c r="AO24" s="38" t="str">
        <f t="shared" si="5"/>
        <v> </v>
      </c>
    </row>
    <row r="25" spans="1:41" ht="15.75">
      <c r="A25" s="25"/>
      <c r="B25" s="154" t="s">
        <v>47</v>
      </c>
      <c r="C25" s="155">
        <f t="shared" si="0"/>
        <v>37.5</v>
      </c>
      <c r="D25" s="156"/>
      <c r="E25" s="156">
        <v>41</v>
      </c>
      <c r="F25" s="156"/>
      <c r="G25" s="156">
        <v>33</v>
      </c>
      <c r="H25" s="156">
        <v>43</v>
      </c>
      <c r="I25" s="156"/>
      <c r="J25" s="156">
        <v>37</v>
      </c>
      <c r="K25" s="156">
        <v>36</v>
      </c>
      <c r="L25" s="156">
        <v>34</v>
      </c>
      <c r="M25" s="156">
        <v>37</v>
      </c>
      <c r="N25" s="156">
        <v>34</v>
      </c>
      <c r="O25" s="156">
        <v>41</v>
      </c>
      <c r="P25" s="156"/>
      <c r="Q25" s="405" t="s">
        <v>344</v>
      </c>
      <c r="R25" s="156">
        <v>39</v>
      </c>
      <c r="S25" s="156"/>
      <c r="T25" s="400"/>
      <c r="U25" s="156"/>
      <c r="V25" s="156">
        <v>34</v>
      </c>
      <c r="W25" s="156">
        <v>40</v>
      </c>
      <c r="X25" s="156">
        <v>39</v>
      </c>
      <c r="Y25" s="156"/>
      <c r="Z25" s="156"/>
      <c r="AA25" s="156">
        <v>35</v>
      </c>
      <c r="AB25" s="156"/>
      <c r="AC25" s="156">
        <v>43</v>
      </c>
      <c r="AD25" s="156"/>
      <c r="AE25" s="156"/>
      <c r="AF25" s="156">
        <v>30</v>
      </c>
      <c r="AG25" s="156">
        <v>36</v>
      </c>
      <c r="AH25" s="156">
        <v>43</v>
      </c>
      <c r="AI25" s="156"/>
      <c r="AJ25" s="42">
        <f t="shared" si="1"/>
        <v>18</v>
      </c>
      <c r="AK25" s="43">
        <f t="shared" si="2"/>
        <v>0</v>
      </c>
      <c r="AL25" s="43">
        <f t="shared" si="3"/>
        <v>18</v>
      </c>
      <c r="AM25" s="43">
        <f t="shared" si="4"/>
        <v>43</v>
      </c>
      <c r="AO25" s="38" t="str">
        <f t="shared" si="5"/>
        <v> </v>
      </c>
    </row>
    <row r="26" spans="1:41" ht="15.75">
      <c r="A26" s="25"/>
      <c r="B26" s="157" t="s">
        <v>17</v>
      </c>
      <c r="C26" s="158">
        <f t="shared" si="0"/>
        <v>39.333333333333336</v>
      </c>
      <c r="D26" s="159"/>
      <c r="E26" s="159"/>
      <c r="F26" s="159">
        <v>38</v>
      </c>
      <c r="G26" s="379">
        <v>44</v>
      </c>
      <c r="H26" s="159">
        <v>38</v>
      </c>
      <c r="I26" s="159"/>
      <c r="J26" s="379">
        <v>38</v>
      </c>
      <c r="K26" s="379">
        <v>40</v>
      </c>
      <c r="L26" s="244">
        <v>42</v>
      </c>
      <c r="M26" s="159"/>
      <c r="N26" s="159">
        <v>35</v>
      </c>
      <c r="O26" s="159">
        <v>42</v>
      </c>
      <c r="P26" s="159"/>
      <c r="Q26" s="159"/>
      <c r="R26" s="159"/>
      <c r="S26" s="159">
        <v>38</v>
      </c>
      <c r="T26" s="400"/>
      <c r="U26" s="379"/>
      <c r="V26" s="379"/>
      <c r="W26" s="156"/>
      <c r="X26" s="244">
        <v>41</v>
      </c>
      <c r="Y26" s="156"/>
      <c r="Z26" s="244"/>
      <c r="AA26" s="159"/>
      <c r="AB26" s="159">
        <v>34</v>
      </c>
      <c r="AC26" s="379">
        <v>40</v>
      </c>
      <c r="AD26" s="159">
        <v>38</v>
      </c>
      <c r="AE26" s="159">
        <v>43</v>
      </c>
      <c r="AF26" s="159">
        <v>44</v>
      </c>
      <c r="AG26" s="159">
        <v>39</v>
      </c>
      <c r="AH26" s="159">
        <v>37</v>
      </c>
      <c r="AI26" s="379"/>
      <c r="AJ26" s="42">
        <f t="shared" si="1"/>
        <v>17</v>
      </c>
      <c r="AK26" s="43">
        <f t="shared" si="2"/>
        <v>1</v>
      </c>
      <c r="AL26" s="43">
        <f t="shared" si="3"/>
        <v>18</v>
      </c>
      <c r="AM26" s="43">
        <f t="shared" si="4"/>
        <v>44</v>
      </c>
      <c r="AN26" s="25"/>
      <c r="AO26" s="38" t="str">
        <f t="shared" si="5"/>
        <v> </v>
      </c>
    </row>
    <row r="27" spans="4:41" ht="15.75">
      <c r="D27" s="44">
        <f aca="true" t="shared" si="6" ref="D27:AI27">SUM(D3:D26)</f>
        <v>0</v>
      </c>
      <c r="E27" s="44">
        <f t="shared" si="6"/>
        <v>467</v>
      </c>
      <c r="F27" s="44">
        <f t="shared" si="6"/>
        <v>335</v>
      </c>
      <c r="G27" s="44">
        <f t="shared" si="6"/>
        <v>514</v>
      </c>
      <c r="H27" s="44">
        <f t="shared" si="6"/>
        <v>639</v>
      </c>
      <c r="I27" s="44">
        <f t="shared" si="6"/>
        <v>493</v>
      </c>
      <c r="J27" s="44">
        <f t="shared" si="6"/>
        <v>502</v>
      </c>
      <c r="K27" s="44">
        <f t="shared" si="6"/>
        <v>251</v>
      </c>
      <c r="L27" s="44">
        <f t="shared" si="6"/>
        <v>504</v>
      </c>
      <c r="M27" s="44">
        <f t="shared" si="6"/>
        <v>405</v>
      </c>
      <c r="N27" s="44">
        <f t="shared" si="6"/>
        <v>588</v>
      </c>
      <c r="O27" s="44">
        <f t="shared" si="6"/>
        <v>420</v>
      </c>
      <c r="P27" s="44">
        <f t="shared" si="6"/>
        <v>306</v>
      </c>
      <c r="Q27" s="44">
        <f t="shared" si="6"/>
        <v>158</v>
      </c>
      <c r="R27" s="44">
        <f t="shared" si="6"/>
        <v>435</v>
      </c>
      <c r="S27" s="44">
        <f t="shared" si="6"/>
        <v>439</v>
      </c>
      <c r="T27" s="44">
        <f t="shared" si="6"/>
        <v>0</v>
      </c>
      <c r="U27" s="44">
        <f t="shared" si="6"/>
        <v>349</v>
      </c>
      <c r="V27" s="44">
        <f t="shared" si="6"/>
        <v>545</v>
      </c>
      <c r="W27" s="44">
        <f t="shared" si="6"/>
        <v>613</v>
      </c>
      <c r="X27" s="44">
        <f t="shared" si="6"/>
        <v>394</v>
      </c>
      <c r="Y27" s="44">
        <f t="shared" si="6"/>
        <v>283</v>
      </c>
      <c r="Z27" s="44">
        <f t="shared" si="6"/>
        <v>430</v>
      </c>
      <c r="AA27" s="44">
        <f t="shared" si="6"/>
        <v>467</v>
      </c>
      <c r="AB27" s="44">
        <f t="shared" si="6"/>
        <v>549</v>
      </c>
      <c r="AC27" s="44">
        <f t="shared" si="6"/>
        <v>480</v>
      </c>
      <c r="AD27" s="44">
        <f t="shared" si="6"/>
        <v>269</v>
      </c>
      <c r="AE27" s="44">
        <f t="shared" si="6"/>
        <v>537</v>
      </c>
      <c r="AF27" s="44">
        <f t="shared" si="6"/>
        <v>575</v>
      </c>
      <c r="AG27" s="44">
        <f t="shared" si="6"/>
        <v>469</v>
      </c>
      <c r="AH27" s="44">
        <f t="shared" si="6"/>
        <v>503</v>
      </c>
      <c r="AI27" s="44">
        <f t="shared" si="6"/>
        <v>492</v>
      </c>
      <c r="AO27" s="38"/>
    </row>
    <row r="28" spans="2:27" ht="15.75">
      <c r="B28" s="193" t="s">
        <v>67</v>
      </c>
      <c r="C28" s="48"/>
      <c r="D28" s="48"/>
      <c r="E28" s="48"/>
      <c r="F28" s="48"/>
      <c r="G28" s="48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3"/>
      <c r="U28" s="193"/>
      <c r="V28" s="193"/>
      <c r="W28" s="193"/>
      <c r="AA28" s="38"/>
    </row>
    <row r="29" spans="2:27" ht="15.75">
      <c r="B29" s="193" t="s">
        <v>68</v>
      </c>
      <c r="C29" s="193"/>
      <c r="D29" s="193"/>
      <c r="E29" s="193"/>
      <c r="F29" s="193"/>
      <c r="G29" s="193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3"/>
      <c r="U29" s="193"/>
      <c r="V29" s="193"/>
      <c r="W29" s="193"/>
      <c r="AA29" s="38"/>
    </row>
    <row r="30" spans="3:27" ht="12.75" customHeight="1">
      <c r="C30" s="45"/>
      <c r="D30" s="45"/>
      <c r="E30" s="45"/>
      <c r="F30" s="45"/>
      <c r="G30" s="45"/>
      <c r="R30" s="17"/>
      <c r="S30" s="17"/>
      <c r="T30" s="45"/>
      <c r="U30" s="45"/>
      <c r="V30" s="45"/>
      <c r="W30" s="45"/>
      <c r="AA30" s="38"/>
    </row>
    <row r="31" spans="2:27" ht="15.75">
      <c r="B31" s="46" t="s">
        <v>69</v>
      </c>
      <c r="R31" s="17"/>
      <c r="S31" s="17"/>
      <c r="T31" s="45"/>
      <c r="U31" s="45"/>
      <c r="V31" s="45"/>
      <c r="W31" s="45"/>
      <c r="AA31" s="38"/>
    </row>
  </sheetData>
  <sheetProtection selectLockedCells="1" selectUnlockedCells="1"/>
  <autoFilter ref="A2:AP2">
    <sortState ref="A3:AP31">
      <sortCondition sortBy="value" ref="C3:C31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</sheetPr>
  <dimension ref="B1:AN84"/>
  <sheetViews>
    <sheetView zoomScalePageLayoutView="0" workbookViewId="0" topLeftCell="B1">
      <selection activeCell="E58" sqref="E58"/>
    </sheetView>
  </sheetViews>
  <sheetFormatPr defaultColWidth="9.140625" defaultRowHeight="12.75"/>
  <cols>
    <col min="1" max="1" width="0" style="34" hidden="1" customWidth="1"/>
    <col min="2" max="2" width="16.28125" style="47" customWidth="1"/>
    <col min="3" max="3" width="13.140625" style="48" customWidth="1"/>
    <col min="4" max="4" width="15.00390625" style="49" customWidth="1"/>
    <col min="5" max="5" width="10.140625" style="50" customWidth="1"/>
    <col min="6" max="6" width="4.00390625" style="34" customWidth="1"/>
    <col min="7" max="7" width="16.7109375" style="34" customWidth="1"/>
    <col min="8" max="8" width="16.00390625" style="34" customWidth="1"/>
    <col min="9" max="9" width="8.140625" style="34" customWidth="1"/>
    <col min="10" max="45" width="4.7109375" style="34" customWidth="1"/>
    <col min="46" max="16384" width="9.140625" style="34" customWidth="1"/>
  </cols>
  <sheetData>
    <row r="1" spans="2:36" ht="19.5">
      <c r="B1" s="448" t="s">
        <v>70</v>
      </c>
      <c r="C1" s="448"/>
      <c r="D1" s="448"/>
      <c r="E1" s="448"/>
      <c r="F1" s="18"/>
      <c r="G1" s="449" t="s">
        <v>71</v>
      </c>
      <c r="H1" s="449"/>
      <c r="I1" s="44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15" s="33" customFormat="1" ht="81.75" customHeight="1" thickBot="1">
      <c r="B2" s="167"/>
      <c r="C2" s="168" t="s">
        <v>72</v>
      </c>
      <c r="D2" s="169" t="s">
        <v>73</v>
      </c>
      <c r="E2" s="170" t="s">
        <v>74</v>
      </c>
      <c r="H2" s="40" t="s">
        <v>75</v>
      </c>
      <c r="I2" s="22" t="s">
        <v>74</v>
      </c>
      <c r="O2" s="52"/>
    </row>
    <row r="3" spans="2:40" s="222" customFormat="1" ht="15.75">
      <c r="B3" s="406" t="s">
        <v>39</v>
      </c>
      <c r="C3" s="370">
        <v>0.15</v>
      </c>
      <c r="D3" s="371" t="s">
        <v>227</v>
      </c>
      <c r="E3" s="372">
        <v>42593</v>
      </c>
      <c r="G3" s="223" t="s">
        <v>39</v>
      </c>
      <c r="H3" s="224" t="s">
        <v>250</v>
      </c>
      <c r="I3" s="183">
        <v>42518</v>
      </c>
      <c r="AM3" s="225"/>
      <c r="AN3" s="53"/>
    </row>
    <row r="4" spans="2:40" s="222" customFormat="1" ht="15.75">
      <c r="B4" s="422" t="s">
        <v>17</v>
      </c>
      <c r="C4" s="176">
        <v>0.16</v>
      </c>
      <c r="D4" s="175" t="s">
        <v>227</v>
      </c>
      <c r="E4" s="221">
        <v>42642</v>
      </c>
      <c r="G4" s="223" t="s">
        <v>33</v>
      </c>
      <c r="H4" s="224" t="s">
        <v>299</v>
      </c>
      <c r="I4" s="226">
        <v>42609</v>
      </c>
      <c r="AM4" s="225"/>
      <c r="AN4" s="53"/>
    </row>
    <row r="5" spans="2:40" s="222" customFormat="1" ht="16.5" thickBot="1">
      <c r="B5" s="425" t="s">
        <v>33</v>
      </c>
      <c r="C5" s="227">
        <v>0.28</v>
      </c>
      <c r="D5" s="228" t="s">
        <v>217</v>
      </c>
      <c r="E5" s="373">
        <v>42502</v>
      </c>
      <c r="F5" s="229"/>
      <c r="G5" s="243"/>
      <c r="H5" s="224"/>
      <c r="I5" s="183"/>
      <c r="J5" s="229"/>
      <c r="K5" s="229"/>
      <c r="L5" s="229"/>
      <c r="M5" s="229"/>
      <c r="AM5" s="225"/>
      <c r="AN5" s="53"/>
    </row>
    <row r="6" spans="2:40" s="222" customFormat="1" ht="15.75">
      <c r="B6" s="424" t="s">
        <v>259</v>
      </c>
      <c r="C6" s="177">
        <v>1.09</v>
      </c>
      <c r="D6" s="175" t="s">
        <v>217</v>
      </c>
      <c r="E6" s="178">
        <v>42607</v>
      </c>
      <c r="AM6" s="225"/>
      <c r="AN6" s="53"/>
    </row>
    <row r="7" spans="2:40" s="222" customFormat="1" ht="15.75">
      <c r="B7" s="230" t="s">
        <v>37</v>
      </c>
      <c r="C7" s="176">
        <v>1.16</v>
      </c>
      <c r="D7" s="179" t="s">
        <v>217</v>
      </c>
      <c r="E7" s="180">
        <v>42544</v>
      </c>
      <c r="AM7" s="225"/>
      <c r="AN7" s="53"/>
    </row>
    <row r="8" spans="2:40" s="222" customFormat="1" ht="15.75">
      <c r="B8" s="230" t="s">
        <v>49</v>
      </c>
      <c r="C8" s="176">
        <v>1.38</v>
      </c>
      <c r="D8" s="179" t="s">
        <v>238</v>
      </c>
      <c r="E8" s="180">
        <v>42502</v>
      </c>
      <c r="AM8" s="225"/>
      <c r="AN8" s="53"/>
    </row>
    <row r="9" spans="2:40" s="222" customFormat="1" ht="15.75">
      <c r="B9" s="230" t="s">
        <v>9</v>
      </c>
      <c r="C9" s="176">
        <v>1.55</v>
      </c>
      <c r="D9" s="179" t="s">
        <v>234</v>
      </c>
      <c r="E9" s="180">
        <v>42502</v>
      </c>
      <c r="AM9" s="225"/>
      <c r="AN9" s="53"/>
    </row>
    <row r="10" spans="2:40" s="222" customFormat="1" ht="15.75">
      <c r="B10" s="205" t="s">
        <v>15</v>
      </c>
      <c r="C10" s="176">
        <v>1.7</v>
      </c>
      <c r="D10" s="179" t="s">
        <v>217</v>
      </c>
      <c r="E10" s="180">
        <v>42474</v>
      </c>
      <c r="F10" s="229"/>
      <c r="G10" s="229"/>
      <c r="H10" s="229"/>
      <c r="I10" s="229"/>
      <c r="J10" s="229"/>
      <c r="K10" s="229"/>
      <c r="L10" s="229"/>
      <c r="M10" s="229"/>
      <c r="AM10" s="225"/>
      <c r="AN10" s="53"/>
    </row>
    <row r="11" spans="2:40" s="222" customFormat="1" ht="15.75">
      <c r="B11" s="230" t="s">
        <v>228</v>
      </c>
      <c r="C11" s="176">
        <v>2.01</v>
      </c>
      <c r="D11" s="179" t="s">
        <v>225</v>
      </c>
      <c r="E11" s="180">
        <v>42502</v>
      </c>
      <c r="AM11" s="225"/>
      <c r="AN11" s="53"/>
    </row>
    <row r="12" spans="2:40" s="222" customFormat="1" ht="15.75">
      <c r="B12" s="230" t="s">
        <v>29</v>
      </c>
      <c r="C12" s="176">
        <v>2.01</v>
      </c>
      <c r="D12" s="179" t="s">
        <v>227</v>
      </c>
      <c r="E12" s="180">
        <v>42572</v>
      </c>
      <c r="AM12" s="225"/>
      <c r="AN12" s="53"/>
    </row>
    <row r="13" spans="2:40" s="222" customFormat="1" ht="15.75">
      <c r="B13" s="230" t="s">
        <v>49</v>
      </c>
      <c r="C13" s="176">
        <v>2.13</v>
      </c>
      <c r="D13" s="179" t="s">
        <v>226</v>
      </c>
      <c r="E13" s="180">
        <v>42558</v>
      </c>
      <c r="AM13" s="225"/>
      <c r="AN13" s="53"/>
    </row>
    <row r="14" spans="2:40" s="222" customFormat="1" ht="15.75">
      <c r="B14" s="203" t="s">
        <v>43</v>
      </c>
      <c r="C14" s="176">
        <v>2.24</v>
      </c>
      <c r="D14" s="179" t="s">
        <v>295</v>
      </c>
      <c r="E14" s="180">
        <v>42609</v>
      </c>
      <c r="AM14" s="225"/>
      <c r="AN14" s="53"/>
    </row>
    <row r="15" spans="2:40" s="222" customFormat="1" ht="15.75">
      <c r="B15" s="204" t="s">
        <v>33</v>
      </c>
      <c r="C15" s="176">
        <v>2.37</v>
      </c>
      <c r="D15" s="179" t="s">
        <v>217</v>
      </c>
      <c r="E15" s="180">
        <v>42481</v>
      </c>
      <c r="AM15" s="225"/>
      <c r="AN15" s="53"/>
    </row>
    <row r="16" spans="2:40" s="222" customFormat="1" ht="15.75">
      <c r="B16" s="230" t="s">
        <v>49</v>
      </c>
      <c r="C16" s="176">
        <v>2.47</v>
      </c>
      <c r="D16" s="179" t="s">
        <v>226</v>
      </c>
      <c r="E16" s="180">
        <v>42467</v>
      </c>
      <c r="AM16" s="225"/>
      <c r="AN16" s="53"/>
    </row>
    <row r="17" spans="2:40" s="222" customFormat="1" ht="15.75">
      <c r="B17" s="204" t="s">
        <v>172</v>
      </c>
      <c r="C17" s="176">
        <v>2.95</v>
      </c>
      <c r="D17" s="179" t="s">
        <v>238</v>
      </c>
      <c r="E17" s="180">
        <v>42523</v>
      </c>
      <c r="AM17" s="225"/>
      <c r="AN17" s="53"/>
    </row>
    <row r="18" spans="2:40" s="229" customFormat="1" ht="15.75">
      <c r="B18" s="423" t="s">
        <v>172</v>
      </c>
      <c r="C18" s="231">
        <v>3.02</v>
      </c>
      <c r="D18" s="232" t="s">
        <v>267</v>
      </c>
      <c r="E18" s="180">
        <v>42558</v>
      </c>
      <c r="F18" s="222"/>
      <c r="G18" s="222"/>
      <c r="H18" s="222"/>
      <c r="I18" s="222"/>
      <c r="J18" s="222"/>
      <c r="K18" s="222"/>
      <c r="L18" s="222"/>
      <c r="M18" s="222"/>
      <c r="AM18" s="233"/>
      <c r="AN18" s="53"/>
    </row>
    <row r="19" spans="2:40" s="229" customFormat="1" ht="15.75">
      <c r="B19" s="206" t="s">
        <v>39</v>
      </c>
      <c r="C19" s="181">
        <v>3.05</v>
      </c>
      <c r="D19" s="182" t="s">
        <v>217</v>
      </c>
      <c r="E19" s="180">
        <v>42600</v>
      </c>
      <c r="F19" s="222"/>
      <c r="G19" s="222"/>
      <c r="H19" s="222"/>
      <c r="I19" s="222"/>
      <c r="J19" s="222"/>
      <c r="K19" s="222"/>
      <c r="L19" s="222"/>
      <c r="M19" s="222"/>
      <c r="AM19" s="233"/>
      <c r="AN19" s="53"/>
    </row>
    <row r="20" spans="2:40" s="229" customFormat="1" ht="15.75">
      <c r="B20" s="206" t="s">
        <v>45</v>
      </c>
      <c r="C20" s="181">
        <v>3.14</v>
      </c>
      <c r="D20" s="182" t="s">
        <v>217</v>
      </c>
      <c r="E20" s="180">
        <v>42516</v>
      </c>
      <c r="F20" s="222"/>
      <c r="G20" s="222"/>
      <c r="H20" s="222"/>
      <c r="I20" s="222"/>
      <c r="J20" s="222"/>
      <c r="K20" s="222"/>
      <c r="L20" s="222"/>
      <c r="M20" s="222"/>
      <c r="AM20" s="233"/>
      <c r="AN20" s="53"/>
    </row>
    <row r="21" spans="2:40" s="229" customFormat="1" ht="15.75">
      <c r="B21" s="234" t="s">
        <v>49</v>
      </c>
      <c r="C21" s="181">
        <v>3.22</v>
      </c>
      <c r="D21" s="182" t="s">
        <v>253</v>
      </c>
      <c r="E21" s="180">
        <v>42518</v>
      </c>
      <c r="F21" s="222"/>
      <c r="G21" s="222"/>
      <c r="H21" s="222"/>
      <c r="I21" s="222"/>
      <c r="J21" s="222"/>
      <c r="K21" s="222"/>
      <c r="L21" s="222"/>
      <c r="M21" s="222"/>
      <c r="AM21" s="233"/>
      <c r="AN21" s="53"/>
    </row>
    <row r="22" spans="2:5" s="222" customFormat="1" ht="15.75">
      <c r="B22" s="206" t="s">
        <v>53</v>
      </c>
      <c r="C22" s="181">
        <v>3.23</v>
      </c>
      <c r="D22" s="182" t="s">
        <v>217</v>
      </c>
      <c r="E22" s="180">
        <v>42537</v>
      </c>
    </row>
    <row r="23" spans="2:5" s="222" customFormat="1" ht="15.75">
      <c r="B23" s="234" t="s">
        <v>31</v>
      </c>
      <c r="C23" s="181">
        <v>3.66</v>
      </c>
      <c r="D23" s="182" t="s">
        <v>225</v>
      </c>
      <c r="E23" s="180">
        <v>42586</v>
      </c>
    </row>
    <row r="24" spans="2:5" s="222" customFormat="1" ht="15.75">
      <c r="B24" s="234" t="s">
        <v>11</v>
      </c>
      <c r="C24" s="181">
        <v>3.88</v>
      </c>
      <c r="D24" s="182" t="s">
        <v>304</v>
      </c>
      <c r="E24" s="180">
        <v>42614</v>
      </c>
    </row>
    <row r="25" spans="2:13" s="222" customFormat="1" ht="15.75">
      <c r="B25" s="206" t="s">
        <v>33</v>
      </c>
      <c r="C25" s="181">
        <v>4.07</v>
      </c>
      <c r="D25" s="182" t="s">
        <v>297</v>
      </c>
      <c r="E25" s="183">
        <v>42609</v>
      </c>
      <c r="F25" s="229"/>
      <c r="G25" s="229"/>
      <c r="H25" s="229"/>
      <c r="I25" s="229"/>
      <c r="J25" s="229"/>
      <c r="K25" s="229"/>
      <c r="L25" s="229"/>
      <c r="M25" s="229"/>
    </row>
    <row r="26" spans="2:5" s="222" customFormat="1" ht="15.75">
      <c r="B26" s="404" t="s">
        <v>33</v>
      </c>
      <c r="C26" s="181">
        <v>4.13</v>
      </c>
      <c r="D26" s="182" t="s">
        <v>217</v>
      </c>
      <c r="E26" s="183">
        <v>42460</v>
      </c>
    </row>
    <row r="27" spans="2:13" s="222" customFormat="1" ht="15.75">
      <c r="B27" s="234" t="s">
        <v>31</v>
      </c>
      <c r="C27" s="181">
        <v>4.14</v>
      </c>
      <c r="D27" s="182" t="s">
        <v>293</v>
      </c>
      <c r="E27" s="183">
        <v>42609</v>
      </c>
      <c r="F27" s="229"/>
      <c r="G27" s="229"/>
      <c r="H27" s="229"/>
      <c r="I27" s="229"/>
      <c r="J27" s="229"/>
      <c r="K27" s="229"/>
      <c r="L27" s="229"/>
      <c r="M27" s="229"/>
    </row>
    <row r="28" spans="2:5" s="222" customFormat="1" ht="15.75">
      <c r="B28" s="234" t="s">
        <v>31</v>
      </c>
      <c r="C28" s="181">
        <v>4.21</v>
      </c>
      <c r="D28" s="182" t="s">
        <v>234</v>
      </c>
      <c r="E28" s="183">
        <v>42586</v>
      </c>
    </row>
    <row r="29" spans="2:5" s="222" customFormat="1" ht="15.75">
      <c r="B29" s="206" t="s">
        <v>31</v>
      </c>
      <c r="C29" s="181">
        <v>4.35</v>
      </c>
      <c r="D29" s="182" t="s">
        <v>217</v>
      </c>
      <c r="E29" s="183">
        <v>42621</v>
      </c>
    </row>
    <row r="30" spans="2:5" s="222" customFormat="1" ht="15.75">
      <c r="B30" s="206" t="s">
        <v>43</v>
      </c>
      <c r="C30" s="181">
        <v>4.36</v>
      </c>
      <c r="D30" s="182" t="s">
        <v>239</v>
      </c>
      <c r="E30" s="183">
        <v>42523</v>
      </c>
    </row>
    <row r="31" spans="2:5" s="222" customFormat="1" ht="15.75">
      <c r="B31" s="207" t="s">
        <v>17</v>
      </c>
      <c r="C31" s="181">
        <v>4.37</v>
      </c>
      <c r="D31" s="182" t="s">
        <v>227</v>
      </c>
      <c r="E31" s="183">
        <v>42558</v>
      </c>
    </row>
    <row r="32" spans="2:5" s="222" customFormat="1" ht="15.75">
      <c r="B32" s="206" t="s">
        <v>19</v>
      </c>
      <c r="C32" s="181">
        <v>4.84</v>
      </c>
      <c r="D32" s="182" t="s">
        <v>226</v>
      </c>
      <c r="E32" s="183">
        <v>42530</v>
      </c>
    </row>
    <row r="33" spans="2:5" s="222" customFormat="1" ht="15.75">
      <c r="B33" s="234" t="s">
        <v>49</v>
      </c>
      <c r="C33" s="181">
        <v>4.89</v>
      </c>
      <c r="D33" s="182" t="s">
        <v>227</v>
      </c>
      <c r="E33" s="183">
        <v>42467</v>
      </c>
    </row>
    <row r="34" spans="2:5" s="222" customFormat="1" ht="15.75">
      <c r="B34" s="234" t="s">
        <v>43</v>
      </c>
      <c r="C34" s="181">
        <v>5.02</v>
      </c>
      <c r="D34" s="182" t="s">
        <v>217</v>
      </c>
      <c r="E34" s="183">
        <v>42565</v>
      </c>
    </row>
    <row r="35" spans="2:5" s="222" customFormat="1" ht="15.75">
      <c r="B35" s="234" t="s">
        <v>29</v>
      </c>
      <c r="C35" s="181">
        <v>5.05</v>
      </c>
      <c r="D35" s="182" t="s">
        <v>217</v>
      </c>
      <c r="E35" s="183">
        <v>42649</v>
      </c>
    </row>
    <row r="36" spans="2:5" s="222" customFormat="1" ht="15.75">
      <c r="B36" s="206" t="s">
        <v>228</v>
      </c>
      <c r="C36" s="181">
        <v>5.13</v>
      </c>
      <c r="D36" s="182" t="s">
        <v>217</v>
      </c>
      <c r="E36" s="183">
        <v>42523</v>
      </c>
    </row>
    <row r="37" spans="2:5" s="222" customFormat="1" ht="15.75">
      <c r="B37" s="207" t="s">
        <v>172</v>
      </c>
      <c r="C37" s="181">
        <v>5.4</v>
      </c>
      <c r="D37" s="182" t="s">
        <v>217</v>
      </c>
      <c r="E37" s="183">
        <v>42558</v>
      </c>
    </row>
    <row r="38" spans="2:5" s="222" customFormat="1" ht="15.75">
      <c r="B38" s="404" t="s">
        <v>49</v>
      </c>
      <c r="C38" s="181">
        <v>5.4</v>
      </c>
      <c r="D38" s="182" t="s">
        <v>238</v>
      </c>
      <c r="E38" s="183">
        <v>42649</v>
      </c>
    </row>
    <row r="39" spans="2:5" s="222" customFormat="1" ht="15.75">
      <c r="B39" s="206" t="s">
        <v>19</v>
      </c>
      <c r="C39" s="181">
        <v>5.48</v>
      </c>
      <c r="D39" s="182" t="s">
        <v>234</v>
      </c>
      <c r="E39" s="183">
        <v>42523</v>
      </c>
    </row>
    <row r="40" spans="2:5" s="222" customFormat="1" ht="15.75">
      <c r="B40" s="206" t="s">
        <v>45</v>
      </c>
      <c r="C40" s="181">
        <v>5.75</v>
      </c>
      <c r="D40" s="182" t="s">
        <v>254</v>
      </c>
      <c r="E40" s="183">
        <v>42518</v>
      </c>
    </row>
    <row r="41" spans="2:5" s="222" customFormat="1" ht="15.75">
      <c r="B41" s="206" t="s">
        <v>31</v>
      </c>
      <c r="C41" s="181">
        <v>5.89</v>
      </c>
      <c r="D41" s="182" t="s">
        <v>227</v>
      </c>
      <c r="E41" s="183">
        <v>42614</v>
      </c>
    </row>
    <row r="42" spans="2:5" s="222" customFormat="1" ht="15.75">
      <c r="B42" s="430" t="s">
        <v>13</v>
      </c>
      <c r="C42" s="220">
        <v>5.95</v>
      </c>
      <c r="D42" s="182" t="s">
        <v>294</v>
      </c>
      <c r="E42" s="183">
        <v>42609</v>
      </c>
    </row>
    <row r="43" spans="2:5" s="222" customFormat="1" ht="15.75">
      <c r="B43" s="203" t="s">
        <v>29</v>
      </c>
      <c r="C43" s="176">
        <v>6.2</v>
      </c>
      <c r="D43" s="182" t="s">
        <v>226</v>
      </c>
      <c r="E43" s="183">
        <v>42614</v>
      </c>
    </row>
    <row r="44" spans="2:5" s="222" customFormat="1" ht="15.75">
      <c r="B44" s="230" t="s">
        <v>29</v>
      </c>
      <c r="C44" s="176">
        <v>6.47</v>
      </c>
      <c r="D44" s="182" t="s">
        <v>234</v>
      </c>
      <c r="E44" s="183">
        <v>42509</v>
      </c>
    </row>
    <row r="45" spans="2:5" s="222" customFormat="1" ht="15.75">
      <c r="B45" s="230" t="s">
        <v>15</v>
      </c>
      <c r="C45" s="176">
        <v>6.98</v>
      </c>
      <c r="D45" s="179" t="s">
        <v>238</v>
      </c>
      <c r="E45" s="183">
        <v>42586</v>
      </c>
    </row>
    <row r="46" spans="2:5" s="222" customFormat="1" ht="15.75">
      <c r="B46" s="204" t="s">
        <v>13</v>
      </c>
      <c r="C46" s="176">
        <v>7.51</v>
      </c>
      <c r="D46" s="179" t="s">
        <v>217</v>
      </c>
      <c r="E46" s="183">
        <v>42628</v>
      </c>
    </row>
    <row r="47" spans="2:5" s="222" customFormat="1" ht="15.75">
      <c r="B47" s="203" t="s">
        <v>228</v>
      </c>
      <c r="C47" s="176">
        <v>8.02</v>
      </c>
      <c r="D47" s="179" t="s">
        <v>239</v>
      </c>
      <c r="E47" s="183">
        <v>42467</v>
      </c>
    </row>
    <row r="48" spans="2:5" s="222" customFormat="1" ht="15.75">
      <c r="B48" s="204" t="s">
        <v>17</v>
      </c>
      <c r="C48" s="176">
        <v>8.05</v>
      </c>
      <c r="D48" s="179" t="s">
        <v>225</v>
      </c>
      <c r="E48" s="180">
        <v>42523</v>
      </c>
    </row>
    <row r="49" spans="2:5" s="222" customFormat="1" ht="15.75">
      <c r="B49" s="204" t="s">
        <v>31</v>
      </c>
      <c r="C49" s="176">
        <v>8.36</v>
      </c>
      <c r="D49" s="179" t="s">
        <v>225</v>
      </c>
      <c r="E49" s="180">
        <v>42467</v>
      </c>
    </row>
    <row r="50" spans="2:5" s="222" customFormat="1" ht="15.75">
      <c r="B50" s="203" t="s">
        <v>39</v>
      </c>
      <c r="C50" s="176">
        <v>8.56</v>
      </c>
      <c r="D50" s="179" t="s">
        <v>234</v>
      </c>
      <c r="E50" s="180">
        <v>42614</v>
      </c>
    </row>
    <row r="51" spans="2:5" s="222" customFormat="1" ht="15.75">
      <c r="B51" s="203" t="s">
        <v>39</v>
      </c>
      <c r="C51" s="176">
        <v>10.2</v>
      </c>
      <c r="D51" s="179" t="s">
        <v>239</v>
      </c>
      <c r="E51" s="180">
        <v>42614</v>
      </c>
    </row>
    <row r="52" spans="2:5" s="222" customFormat="1" ht="15.75">
      <c r="B52" s="203" t="s">
        <v>17</v>
      </c>
      <c r="C52" s="176">
        <v>11</v>
      </c>
      <c r="D52" s="179" t="s">
        <v>234</v>
      </c>
      <c r="E52" s="180">
        <v>42488</v>
      </c>
    </row>
    <row r="53" spans="2:5" s="222" customFormat="1" ht="15.75">
      <c r="B53" s="230" t="s">
        <v>31</v>
      </c>
      <c r="C53" s="176">
        <v>11.25</v>
      </c>
      <c r="D53" s="179" t="s">
        <v>217</v>
      </c>
      <c r="E53" s="180">
        <v>42579</v>
      </c>
    </row>
    <row r="54" spans="2:5" s="222" customFormat="1" ht="15.75">
      <c r="B54" s="204" t="s">
        <v>31</v>
      </c>
      <c r="C54" s="176">
        <v>11.65</v>
      </c>
      <c r="D54" s="179" t="s">
        <v>296</v>
      </c>
      <c r="E54" s="180">
        <v>42609</v>
      </c>
    </row>
    <row r="55" spans="2:5" s="222" customFormat="1" ht="15.75">
      <c r="B55" s="412" t="s">
        <v>33</v>
      </c>
      <c r="C55" s="176">
        <v>12.98</v>
      </c>
      <c r="D55" s="179" t="s">
        <v>217</v>
      </c>
      <c r="E55" s="180">
        <v>42586</v>
      </c>
    </row>
    <row r="56" spans="2:5" s="222" customFormat="1" ht="15.75">
      <c r="B56" s="230" t="s">
        <v>49</v>
      </c>
      <c r="C56" s="176">
        <v>14</v>
      </c>
      <c r="D56" s="179" t="s">
        <v>217</v>
      </c>
      <c r="E56" s="180">
        <v>42495</v>
      </c>
    </row>
    <row r="57" spans="2:5" s="222" customFormat="1" ht="15.75">
      <c r="B57" s="230" t="s">
        <v>29</v>
      </c>
      <c r="C57" s="176">
        <v>15</v>
      </c>
      <c r="D57" s="179" t="s">
        <v>239</v>
      </c>
      <c r="E57" s="180">
        <v>42502</v>
      </c>
    </row>
    <row r="58" spans="2:5" s="222" customFormat="1" ht="15.75">
      <c r="B58" s="230"/>
      <c r="C58" s="176"/>
      <c r="D58" s="179"/>
      <c r="E58" s="180"/>
    </row>
    <row r="59" spans="2:5" s="222" customFormat="1" ht="15.75">
      <c r="B59" s="203"/>
      <c r="C59" s="176"/>
      <c r="D59" s="179"/>
      <c r="E59" s="180"/>
    </row>
    <row r="60" spans="2:5" s="222" customFormat="1" ht="15.75">
      <c r="B60" s="230"/>
      <c r="C60" s="176"/>
      <c r="D60" s="179"/>
      <c r="E60" s="180"/>
    </row>
    <row r="61" spans="2:5" s="222" customFormat="1" ht="15.75">
      <c r="B61" s="324"/>
      <c r="C61" s="176"/>
      <c r="D61" s="179"/>
      <c r="E61" s="180"/>
    </row>
    <row r="62" spans="2:5" s="222" customFormat="1" ht="15.75">
      <c r="B62" s="230"/>
      <c r="C62" s="176"/>
      <c r="D62" s="179"/>
      <c r="E62" s="180"/>
    </row>
    <row r="63" spans="2:5" s="222" customFormat="1" ht="15.75">
      <c r="B63" s="204"/>
      <c r="C63" s="176"/>
      <c r="D63" s="179"/>
      <c r="E63" s="180"/>
    </row>
    <row r="64" spans="2:5" s="222" customFormat="1" ht="15.75">
      <c r="B64" s="230"/>
      <c r="C64" s="176"/>
      <c r="D64" s="179"/>
      <c r="E64" s="180"/>
    </row>
    <row r="65" spans="2:5" s="222" customFormat="1" ht="15.75">
      <c r="B65" s="203"/>
      <c r="C65" s="176"/>
      <c r="D65" s="179"/>
      <c r="E65" s="180"/>
    </row>
    <row r="66" spans="2:5" s="222" customFormat="1" ht="15.75">
      <c r="B66" s="203"/>
      <c r="C66" s="176"/>
      <c r="D66" s="179"/>
      <c r="E66" s="180"/>
    </row>
    <row r="67" spans="2:5" s="222" customFormat="1" ht="15.75">
      <c r="B67" s="204"/>
      <c r="C67" s="176"/>
      <c r="D67" s="179"/>
      <c r="E67" s="180"/>
    </row>
    <row r="68" spans="2:5" s="222" customFormat="1" ht="15.75">
      <c r="B68" s="230"/>
      <c r="C68" s="176"/>
      <c r="D68" s="179"/>
      <c r="E68" s="180"/>
    </row>
    <row r="69" spans="2:5" s="222" customFormat="1" ht="15.75">
      <c r="B69" s="230"/>
      <c r="C69" s="176"/>
      <c r="D69" s="235"/>
      <c r="E69" s="236"/>
    </row>
    <row r="70" spans="2:5" s="222" customFormat="1" ht="15.75">
      <c r="B70" s="237"/>
      <c r="C70" s="238"/>
      <c r="D70" s="239"/>
      <c r="E70" s="240"/>
    </row>
    <row r="71" spans="2:5" s="222" customFormat="1" ht="15.75">
      <c r="B71" s="237"/>
      <c r="C71" s="238"/>
      <c r="D71" s="239"/>
      <c r="E71" s="240"/>
    </row>
    <row r="72" spans="2:5" s="222" customFormat="1" ht="15.75">
      <c r="B72" s="237"/>
      <c r="C72" s="238"/>
      <c r="D72" s="239"/>
      <c r="E72" s="240"/>
    </row>
    <row r="73" spans="2:5" s="222" customFormat="1" ht="15.75">
      <c r="B73" s="237"/>
      <c r="C73" s="238"/>
      <c r="D73" s="239"/>
      <c r="E73" s="240"/>
    </row>
    <row r="74" spans="2:5" s="222" customFormat="1" ht="15.75">
      <c r="B74" s="237"/>
      <c r="C74" s="238"/>
      <c r="D74" s="239"/>
      <c r="E74" s="240"/>
    </row>
    <row r="75" spans="2:5" s="222" customFormat="1" ht="15.75">
      <c r="B75" s="237"/>
      <c r="C75" s="241"/>
      <c r="D75" s="239"/>
      <c r="E75" s="240"/>
    </row>
    <row r="76" spans="2:5" s="222" customFormat="1" ht="15.75">
      <c r="B76" s="237"/>
      <c r="C76" s="241"/>
      <c r="D76" s="239"/>
      <c r="E76" s="240"/>
    </row>
    <row r="77" spans="2:5" s="222" customFormat="1" ht="15.75">
      <c r="B77" s="237"/>
      <c r="C77" s="241"/>
      <c r="D77" s="239"/>
      <c r="E77" s="240"/>
    </row>
    <row r="78" spans="2:5" s="222" customFormat="1" ht="15.75">
      <c r="B78" s="237"/>
      <c r="C78" s="241"/>
      <c r="D78" s="239"/>
      <c r="E78" s="240"/>
    </row>
    <row r="79" spans="2:5" s="222" customFormat="1" ht="15.75">
      <c r="B79" s="237"/>
      <c r="C79" s="241"/>
      <c r="D79" s="239"/>
      <c r="E79" s="240"/>
    </row>
    <row r="80" spans="2:5" s="222" customFormat="1" ht="15.75">
      <c r="B80" s="237"/>
      <c r="C80" s="241"/>
      <c r="D80" s="239"/>
      <c r="E80" s="240"/>
    </row>
    <row r="81" spans="2:5" s="222" customFormat="1" ht="15.75">
      <c r="B81" s="237"/>
      <c r="C81" s="241"/>
      <c r="D81" s="239"/>
      <c r="E81" s="240"/>
    </row>
    <row r="82" spans="2:5" s="222" customFormat="1" ht="15.75">
      <c r="B82" s="237"/>
      <c r="C82" s="241"/>
      <c r="D82" s="239"/>
      <c r="E82" s="240"/>
    </row>
    <row r="83" spans="2:5" s="222" customFormat="1" ht="15.75">
      <c r="B83" s="237"/>
      <c r="C83" s="241"/>
      <c r="D83" s="239"/>
      <c r="E83" s="240"/>
    </row>
    <row r="84" spans="2:5" s="222" customFormat="1" ht="15.75">
      <c r="B84" s="237"/>
      <c r="C84" s="241"/>
      <c r="D84" s="239"/>
      <c r="E84" s="240"/>
    </row>
  </sheetData>
  <sheetProtection selectLockedCells="1" selectUnlockedCells="1"/>
  <autoFilter ref="B2:E3">
    <sortState ref="B3:E84">
      <sortCondition sortBy="value" ref="C3:C84"/>
    </sortState>
  </autoFilter>
  <mergeCells count="2">
    <mergeCell ref="B1:E1"/>
    <mergeCell ref="G1:I1"/>
  </mergeCells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8" customWidth="1"/>
    <col min="17" max="17" width="9.8515625" style="8" bestFit="1" customWidth="1"/>
    <col min="18" max="16384" width="9.140625" style="8" customWidth="1"/>
  </cols>
  <sheetData>
    <row r="1" spans="2:14" s="57" customFormat="1" ht="43.5" customHeight="1">
      <c r="B1" s="441" t="s">
        <v>174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7" s="57" customFormat="1" ht="29.25" customHeight="1">
      <c r="B2" s="450" t="s">
        <v>175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P2" s="111" t="s">
        <v>97</v>
      </c>
      <c r="Q2" s="111" t="s">
        <v>98</v>
      </c>
    </row>
    <row r="3" spans="1:17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  <c r="P3" s="112">
        <v>27</v>
      </c>
      <c r="Q3" s="59" t="s">
        <v>76</v>
      </c>
    </row>
    <row r="4" spans="1:17" s="82" customFormat="1" ht="18" customHeight="1">
      <c r="A4" s="154"/>
      <c r="B4" s="251"/>
      <c r="C4" s="73"/>
      <c r="D4" s="74"/>
      <c r="E4" s="75"/>
      <c r="F4" s="73">
        <v>1</v>
      </c>
      <c r="G4" s="73">
        <v>10</v>
      </c>
      <c r="H4" s="76">
        <f aca="true" t="shared" si="0" ref="H4:H11">N4+I4</f>
        <v>2500000</v>
      </c>
      <c r="I4" s="77">
        <f aca="true" t="shared" si="1" ref="I4:I11">IF(E4&gt;0,$N$13,0)+IF(C4&gt;0,50000,0)+IF(C12&lt;0,50000,0)</f>
        <v>0</v>
      </c>
      <c r="J4" s="78" t="s">
        <v>86</v>
      </c>
      <c r="K4" s="79"/>
      <c r="L4" s="80"/>
      <c r="M4" s="81">
        <v>10</v>
      </c>
      <c r="N4" s="76">
        <f>N12*25%</f>
        <v>2500000</v>
      </c>
      <c r="P4" s="72">
        <v>40</v>
      </c>
      <c r="Q4" s="59">
        <f>ROUND(P4*18/P3,0)</f>
        <v>27</v>
      </c>
    </row>
    <row r="5" spans="1:17" s="82" customFormat="1" ht="18" customHeight="1">
      <c r="A5" s="154"/>
      <c r="B5" s="251"/>
      <c r="C5" s="73"/>
      <c r="D5" s="74"/>
      <c r="E5" s="75"/>
      <c r="F5" s="73">
        <v>2</v>
      </c>
      <c r="G5" s="73">
        <v>8</v>
      </c>
      <c r="H5" s="76">
        <f t="shared" si="0"/>
        <v>2000000</v>
      </c>
      <c r="I5" s="77">
        <f t="shared" si="1"/>
        <v>0</v>
      </c>
      <c r="J5" s="83" t="s">
        <v>87</v>
      </c>
      <c r="K5" s="84"/>
      <c r="L5" s="85"/>
      <c r="M5" s="86">
        <v>8</v>
      </c>
      <c r="N5" s="76">
        <f>N12*20%</f>
        <v>2000000</v>
      </c>
      <c r="P5" s="72">
        <v>41</v>
      </c>
      <c r="Q5" s="59">
        <f>ROUND(P5*18/P3,0)</f>
        <v>27</v>
      </c>
    </row>
    <row r="6" spans="1:17" s="82" customFormat="1" ht="18" customHeight="1">
      <c r="A6" s="154"/>
      <c r="B6" s="251"/>
      <c r="C6" s="74"/>
      <c r="D6" s="74"/>
      <c r="E6" s="89"/>
      <c r="F6" s="12">
        <v>3</v>
      </c>
      <c r="G6" s="12">
        <v>6</v>
      </c>
      <c r="H6" s="76">
        <f t="shared" si="0"/>
        <v>1500000</v>
      </c>
      <c r="I6" s="77">
        <f t="shared" si="1"/>
        <v>0</v>
      </c>
      <c r="J6" s="83" t="s">
        <v>88</v>
      </c>
      <c r="K6" s="84"/>
      <c r="L6" s="85"/>
      <c r="M6" s="86">
        <v>6</v>
      </c>
      <c r="N6" s="76">
        <f>N12*15%</f>
        <v>1500000</v>
      </c>
      <c r="P6" s="72">
        <v>42</v>
      </c>
      <c r="Q6" s="59">
        <f>ROUND(P6*18/P3,0)</f>
        <v>28</v>
      </c>
    </row>
    <row r="7" spans="1:17" s="82" customFormat="1" ht="18" customHeight="1">
      <c r="A7" s="154"/>
      <c r="B7" s="251"/>
      <c r="C7" s="73"/>
      <c r="D7" s="74"/>
      <c r="E7" s="89"/>
      <c r="F7" s="73">
        <v>4</v>
      </c>
      <c r="G7" s="73">
        <v>5</v>
      </c>
      <c r="H7" s="76">
        <f t="shared" si="0"/>
        <v>1200000</v>
      </c>
      <c r="I7" s="77">
        <f t="shared" si="1"/>
        <v>0</v>
      </c>
      <c r="J7" s="83" t="s">
        <v>89</v>
      </c>
      <c r="K7" s="84"/>
      <c r="L7" s="85"/>
      <c r="M7" s="86">
        <v>5</v>
      </c>
      <c r="N7" s="76">
        <f>N12*12%</f>
        <v>1200000</v>
      </c>
      <c r="O7" s="87"/>
      <c r="P7" s="72">
        <v>43</v>
      </c>
      <c r="Q7" s="59">
        <f>ROUND(P7*18/P3,0)</f>
        <v>29</v>
      </c>
    </row>
    <row r="8" spans="1:17" s="82" customFormat="1" ht="18" customHeight="1">
      <c r="A8" s="154"/>
      <c r="B8" s="251"/>
      <c r="C8" s="73"/>
      <c r="D8" s="74"/>
      <c r="E8" s="75"/>
      <c r="F8" s="73">
        <v>5</v>
      </c>
      <c r="G8" s="73">
        <v>4</v>
      </c>
      <c r="H8" s="76">
        <f t="shared" si="0"/>
        <v>1000000</v>
      </c>
      <c r="I8" s="77">
        <f t="shared" si="1"/>
        <v>0</v>
      </c>
      <c r="J8" s="83" t="s">
        <v>90</v>
      </c>
      <c r="K8" s="84"/>
      <c r="L8" s="85"/>
      <c r="M8" s="86">
        <v>4</v>
      </c>
      <c r="N8" s="76">
        <f>N12*10%</f>
        <v>1000000</v>
      </c>
      <c r="P8" s="72">
        <v>44</v>
      </c>
      <c r="Q8" s="59">
        <f>ROUND(P8*18/P3,0)</f>
        <v>29</v>
      </c>
    </row>
    <row r="9" spans="1:17" s="82" customFormat="1" ht="18" customHeight="1">
      <c r="A9" s="154"/>
      <c r="B9" s="251"/>
      <c r="C9" s="73"/>
      <c r="D9" s="74"/>
      <c r="E9" s="75"/>
      <c r="F9" s="90">
        <v>6</v>
      </c>
      <c r="G9" s="90">
        <v>3</v>
      </c>
      <c r="H9" s="76">
        <f t="shared" si="0"/>
        <v>800000</v>
      </c>
      <c r="I9" s="77">
        <f t="shared" si="1"/>
        <v>0</v>
      </c>
      <c r="J9" s="83" t="s">
        <v>91</v>
      </c>
      <c r="K9" s="84"/>
      <c r="L9" s="85"/>
      <c r="M9" s="86">
        <v>3</v>
      </c>
      <c r="N9" s="76">
        <f>N12*8%</f>
        <v>800000</v>
      </c>
      <c r="P9" s="72">
        <v>45</v>
      </c>
      <c r="Q9" s="59">
        <f>ROUND(P9*18/P3,0)</f>
        <v>30</v>
      </c>
    </row>
    <row r="10" spans="1:17" s="82" customFormat="1" ht="18" customHeight="1">
      <c r="A10" s="154"/>
      <c r="B10" s="251"/>
      <c r="C10" s="74"/>
      <c r="D10" s="74"/>
      <c r="E10" s="75"/>
      <c r="F10" s="73">
        <v>7</v>
      </c>
      <c r="G10" s="73">
        <v>2</v>
      </c>
      <c r="H10" s="76">
        <f t="shared" si="0"/>
        <v>600000</v>
      </c>
      <c r="I10" s="77">
        <f t="shared" si="1"/>
        <v>0</v>
      </c>
      <c r="J10" s="83" t="s">
        <v>92</v>
      </c>
      <c r="K10" s="84"/>
      <c r="L10" s="85"/>
      <c r="M10" s="86">
        <v>2</v>
      </c>
      <c r="N10" s="76">
        <f>N12*6%</f>
        <v>600000</v>
      </c>
      <c r="P10" s="72">
        <v>46</v>
      </c>
      <c r="Q10" s="59">
        <f>ROUND(P10*18/P3,0)</f>
        <v>31</v>
      </c>
    </row>
    <row r="11" spans="1:17" s="82" customFormat="1" ht="18" customHeight="1">
      <c r="A11" s="154"/>
      <c r="B11" s="251"/>
      <c r="C11" s="74"/>
      <c r="D11" s="74"/>
      <c r="E11" s="75"/>
      <c r="F11" s="73">
        <v>8</v>
      </c>
      <c r="G11" s="73">
        <v>1</v>
      </c>
      <c r="H11" s="76">
        <f t="shared" si="0"/>
        <v>400000</v>
      </c>
      <c r="I11" s="77">
        <f t="shared" si="1"/>
        <v>0</v>
      </c>
      <c r="J11" s="83" t="s">
        <v>93</v>
      </c>
      <c r="K11" s="84"/>
      <c r="L11" s="85"/>
      <c r="M11" s="86">
        <v>1</v>
      </c>
      <c r="N11" s="76">
        <f>N12*4%</f>
        <v>400000</v>
      </c>
      <c r="P11" s="72">
        <v>47</v>
      </c>
      <c r="Q11" s="59">
        <f>ROUND(P11*18/P3,0)</f>
        <v>31</v>
      </c>
    </row>
    <row r="12" spans="1:17" s="82" customFormat="1" ht="18" customHeight="1">
      <c r="A12" s="154"/>
      <c r="B12" s="251"/>
      <c r="C12" s="74"/>
      <c r="D12" s="74"/>
      <c r="E12" s="75"/>
      <c r="F12" s="73"/>
      <c r="G12" s="73"/>
      <c r="H12" s="76">
        <f aca="true" t="shared" si="2" ref="H12:H27">I12</f>
        <v>0</v>
      </c>
      <c r="I12" s="77">
        <f aca="true" t="shared" si="3" ref="I12:I27">IF(E12&gt;0,$N$13,0)+IF(C12&gt;0,50000,0)+IF(C12&lt;0,50000,0)</f>
        <v>0</v>
      </c>
      <c r="J12" s="91" t="s">
        <v>94</v>
      </c>
      <c r="K12" s="84"/>
      <c r="L12" s="85"/>
      <c r="M12" s="86"/>
      <c r="N12" s="92">
        <v>10000000</v>
      </c>
      <c r="P12" s="72">
        <v>48</v>
      </c>
      <c r="Q12" s="59">
        <f>ROUND(P12*18/P3,0)</f>
        <v>32</v>
      </c>
    </row>
    <row r="13" spans="1:17" s="82" customFormat="1" ht="18" customHeight="1">
      <c r="A13" s="154"/>
      <c r="B13" s="251"/>
      <c r="C13" s="73"/>
      <c r="D13" s="74"/>
      <c r="E13" s="89"/>
      <c r="F13" s="73"/>
      <c r="G13" s="73"/>
      <c r="H13" s="76">
        <f t="shared" si="2"/>
        <v>0</v>
      </c>
      <c r="I13" s="77">
        <f t="shared" si="3"/>
        <v>0</v>
      </c>
      <c r="J13" s="94" t="s">
        <v>95</v>
      </c>
      <c r="K13" s="95"/>
      <c r="L13" s="96"/>
      <c r="M13" s="97">
        <v>1</v>
      </c>
      <c r="N13" s="98">
        <f>N10</f>
        <v>600000</v>
      </c>
      <c r="P13" s="72">
        <v>49</v>
      </c>
      <c r="Q13" s="59">
        <f>ROUND(P13*18/P3,0)</f>
        <v>33</v>
      </c>
    </row>
    <row r="14" spans="1:17" s="82" customFormat="1" ht="18" customHeight="1">
      <c r="A14" s="154"/>
      <c r="B14" s="251"/>
      <c r="C14" s="73"/>
      <c r="D14" s="74"/>
      <c r="E14" s="75"/>
      <c r="F14" s="73"/>
      <c r="G14" s="73"/>
      <c r="H14" s="76">
        <f t="shared" si="2"/>
        <v>0</v>
      </c>
      <c r="I14" s="77">
        <f t="shared" si="3"/>
        <v>0</v>
      </c>
      <c r="J14" s="99"/>
      <c r="K14" s="95"/>
      <c r="L14" s="95"/>
      <c r="M14" s="100"/>
      <c r="N14" s="101"/>
      <c r="P14" s="72">
        <v>50</v>
      </c>
      <c r="Q14" s="59">
        <f>ROUND(P14*18/P3,0)</f>
        <v>33</v>
      </c>
    </row>
    <row r="15" spans="1:17" s="82" customFormat="1" ht="18" customHeight="1">
      <c r="A15" s="154"/>
      <c r="B15" s="251"/>
      <c r="C15" s="73"/>
      <c r="D15" s="74"/>
      <c r="E15" s="89"/>
      <c r="F15" s="73"/>
      <c r="G15" s="73"/>
      <c r="H15" s="76">
        <f t="shared" si="2"/>
        <v>0</v>
      </c>
      <c r="I15" s="77">
        <f t="shared" si="3"/>
        <v>0</v>
      </c>
      <c r="J15" s="102"/>
      <c r="K15" s="103"/>
      <c r="L15" s="103"/>
      <c r="M15" s="104"/>
      <c r="N15" s="105"/>
      <c r="P15" s="72">
        <v>51</v>
      </c>
      <c r="Q15" s="59">
        <f>ROUND(P15*18/P3,0)</f>
        <v>34</v>
      </c>
    </row>
    <row r="16" spans="1:17" s="82" customFormat="1" ht="18" customHeight="1">
      <c r="A16" s="154"/>
      <c r="B16" s="251"/>
      <c r="C16" s="74"/>
      <c r="D16" s="74"/>
      <c r="E16" s="75"/>
      <c r="F16" s="12"/>
      <c r="G16" s="12"/>
      <c r="H16" s="76">
        <f t="shared" si="2"/>
        <v>0</v>
      </c>
      <c r="I16" s="77">
        <f t="shared" si="3"/>
        <v>0</v>
      </c>
      <c r="P16" s="72">
        <v>52</v>
      </c>
      <c r="Q16" s="59">
        <f>ROUND(P16*18/P3,0)</f>
        <v>35</v>
      </c>
    </row>
    <row r="17" spans="1:17" s="82" customFormat="1" ht="18" customHeight="1">
      <c r="A17" s="154"/>
      <c r="B17" s="251"/>
      <c r="C17" s="73"/>
      <c r="D17" s="74"/>
      <c r="E17" s="89"/>
      <c r="F17" s="12"/>
      <c r="G17" s="12"/>
      <c r="H17" s="76">
        <f t="shared" si="2"/>
        <v>0</v>
      </c>
      <c r="I17" s="77">
        <f t="shared" si="3"/>
        <v>0</v>
      </c>
      <c r="O17" s="87"/>
      <c r="P17" s="72">
        <v>53</v>
      </c>
      <c r="Q17" s="59">
        <f>ROUND(P17*18/P3,0)</f>
        <v>35</v>
      </c>
    </row>
    <row r="18" spans="1:17" s="82" customFormat="1" ht="18" customHeight="1">
      <c r="A18" s="154"/>
      <c r="B18" s="251"/>
      <c r="C18" s="73"/>
      <c r="D18" s="74"/>
      <c r="E18" s="75"/>
      <c r="F18" s="73"/>
      <c r="G18" s="73"/>
      <c r="H18" s="76">
        <f t="shared" si="2"/>
        <v>0</v>
      </c>
      <c r="I18" s="77">
        <f t="shared" si="3"/>
        <v>0</v>
      </c>
      <c r="J18" s="8"/>
      <c r="K18" s="8"/>
      <c r="L18" s="8"/>
      <c r="M18" s="8"/>
      <c r="N18" s="8"/>
      <c r="O18" s="88"/>
      <c r="P18" s="72">
        <v>54</v>
      </c>
      <c r="Q18" s="59">
        <f>ROUND(P18*18/P3,0)</f>
        <v>36</v>
      </c>
    </row>
    <row r="19" spans="1:17" s="82" customFormat="1" ht="18" customHeight="1">
      <c r="A19" s="154"/>
      <c r="B19" s="251"/>
      <c r="C19" s="12"/>
      <c r="D19" s="74"/>
      <c r="E19" s="89"/>
      <c r="F19" s="73"/>
      <c r="G19" s="73"/>
      <c r="H19" s="76">
        <f t="shared" si="2"/>
        <v>0</v>
      </c>
      <c r="I19" s="77">
        <f t="shared" si="3"/>
        <v>0</v>
      </c>
      <c r="J19" s="8"/>
      <c r="K19" s="8"/>
      <c r="L19" s="8"/>
      <c r="M19" s="8"/>
      <c r="N19" s="8"/>
      <c r="O19" s="88"/>
      <c r="P19" s="72">
        <v>55</v>
      </c>
      <c r="Q19" s="59">
        <f>ROUND(P19*18/P3,0)</f>
        <v>37</v>
      </c>
    </row>
    <row r="20" spans="1:17" s="57" customFormat="1" ht="18" customHeight="1">
      <c r="A20" s="154"/>
      <c r="B20" s="251"/>
      <c r="C20" s="73"/>
      <c r="D20" s="74"/>
      <c r="E20" s="75"/>
      <c r="F20" s="12"/>
      <c r="G20" s="12"/>
      <c r="H20" s="76">
        <f t="shared" si="2"/>
        <v>0</v>
      </c>
      <c r="I20" s="77">
        <f t="shared" si="3"/>
        <v>0</v>
      </c>
      <c r="J20" s="8"/>
      <c r="K20" s="8"/>
      <c r="L20" s="8"/>
      <c r="M20" s="8"/>
      <c r="N20" s="8"/>
      <c r="P20" s="72">
        <v>56</v>
      </c>
      <c r="Q20" s="59">
        <f>ROUND(P20*18/P3,0)</f>
        <v>37</v>
      </c>
    </row>
    <row r="21" spans="1:17" s="57" customFormat="1" ht="18" customHeight="1">
      <c r="A21" s="154"/>
      <c r="B21" s="251"/>
      <c r="C21" s="73"/>
      <c r="D21" s="74"/>
      <c r="E21" s="75"/>
      <c r="F21" s="12"/>
      <c r="G21" s="12"/>
      <c r="H21" s="76">
        <f t="shared" si="2"/>
        <v>0</v>
      </c>
      <c r="I21" s="77">
        <f t="shared" si="3"/>
        <v>0</v>
      </c>
      <c r="J21" s="8"/>
      <c r="K21" s="8"/>
      <c r="L21" s="8"/>
      <c r="M21" s="8"/>
      <c r="N21" s="8"/>
      <c r="P21" s="72">
        <v>57</v>
      </c>
      <c r="Q21" s="59">
        <f>ROUND(P21*18/P3,0)</f>
        <v>38</v>
      </c>
    </row>
    <row r="22" spans="1:17" s="57" customFormat="1" ht="18" customHeight="1">
      <c r="A22" s="154"/>
      <c r="B22" s="251"/>
      <c r="C22" s="93"/>
      <c r="D22" s="74"/>
      <c r="E22" s="75"/>
      <c r="F22" s="12"/>
      <c r="G22" s="12"/>
      <c r="H22" s="76">
        <f t="shared" si="2"/>
        <v>0</v>
      </c>
      <c r="I22" s="77">
        <f t="shared" si="3"/>
        <v>0</v>
      </c>
      <c r="J22" s="8"/>
      <c r="K22" s="8"/>
      <c r="L22" s="8"/>
      <c r="M22" s="8"/>
      <c r="N22" s="8"/>
      <c r="P22" s="72">
        <v>58</v>
      </c>
      <c r="Q22" s="59">
        <f>ROUND(P22*18/P3,0)</f>
        <v>39</v>
      </c>
    </row>
    <row r="23" spans="1:17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  <c r="J23" s="8"/>
      <c r="K23" s="8"/>
      <c r="L23" s="8"/>
      <c r="M23" s="8"/>
      <c r="N23" s="8"/>
      <c r="P23" s="72">
        <v>59</v>
      </c>
      <c r="Q23" s="59">
        <f>ROUND(P23*18/P3,0)</f>
        <v>39</v>
      </c>
    </row>
    <row r="24" spans="1:17" s="57" customFormat="1" ht="18" customHeight="1">
      <c r="A24" s="154"/>
      <c r="B24" s="251"/>
      <c r="C24" s="73"/>
      <c r="D24" s="74"/>
      <c r="E24" s="75"/>
      <c r="F24" s="12"/>
      <c r="G24" s="12"/>
      <c r="H24" s="76">
        <f t="shared" si="2"/>
        <v>0</v>
      </c>
      <c r="I24" s="77">
        <f t="shared" si="3"/>
        <v>0</v>
      </c>
      <c r="J24" s="8"/>
      <c r="K24" s="8"/>
      <c r="L24" s="8"/>
      <c r="M24" s="8"/>
      <c r="N24" s="8"/>
      <c r="P24" s="72">
        <v>60</v>
      </c>
      <c r="Q24" s="59">
        <f>ROUND(P24*18/P3,0)</f>
        <v>40</v>
      </c>
    </row>
    <row r="25" spans="1:17" s="57" customFormat="1" ht="18" customHeight="1">
      <c r="A25" s="154"/>
      <c r="B25" s="251"/>
      <c r="C25" s="73"/>
      <c r="D25" s="74"/>
      <c r="E25" s="89"/>
      <c r="F25" s="12"/>
      <c r="G25" s="12"/>
      <c r="H25" s="76">
        <f t="shared" si="2"/>
        <v>0</v>
      </c>
      <c r="I25" s="77">
        <f t="shared" si="3"/>
        <v>0</v>
      </c>
      <c r="J25" s="8"/>
      <c r="K25" s="8"/>
      <c r="L25" s="8"/>
      <c r="M25" s="8"/>
      <c r="N25" s="8"/>
      <c r="P25" s="72">
        <v>61</v>
      </c>
      <c r="Q25" s="59">
        <f>ROUND(P25*18/P3,0)</f>
        <v>41</v>
      </c>
    </row>
    <row r="26" spans="1:17" s="57" customFormat="1" ht="18" customHeight="1">
      <c r="A26" s="154"/>
      <c r="B26" s="190"/>
      <c r="C26" s="73"/>
      <c r="D26" s="74"/>
      <c r="E26" s="75"/>
      <c r="F26" s="73"/>
      <c r="G26" s="73"/>
      <c r="H26" s="76">
        <f t="shared" si="2"/>
        <v>0</v>
      </c>
      <c r="I26" s="77">
        <f t="shared" si="3"/>
        <v>0</v>
      </c>
      <c r="J26" s="8"/>
      <c r="K26" s="8"/>
      <c r="L26" s="8"/>
      <c r="M26" s="8"/>
      <c r="N26" s="8"/>
      <c r="P26" s="72">
        <v>62</v>
      </c>
      <c r="Q26" s="59">
        <f>ROUND(P26*18/P3,0)</f>
        <v>41</v>
      </c>
    </row>
    <row r="27" spans="1:14" s="57" customFormat="1" ht="18" customHeight="1">
      <c r="A27" s="154"/>
      <c r="B27" s="190"/>
      <c r="C27" s="74"/>
      <c r="D27" s="106"/>
      <c r="E27" s="89"/>
      <c r="F27" s="73"/>
      <c r="G27" s="73"/>
      <c r="H27" s="76">
        <f t="shared" si="2"/>
        <v>0</v>
      </c>
      <c r="I27" s="77">
        <f t="shared" si="3"/>
        <v>0</v>
      </c>
      <c r="J27" s="8"/>
      <c r="K27" s="8"/>
      <c r="L27" s="8"/>
      <c r="M27" s="8"/>
      <c r="N27" s="8"/>
    </row>
    <row r="28" spans="1:9" ht="24" customHeight="1" thickBot="1">
      <c r="A28" s="1"/>
      <c r="B28" s="3"/>
      <c r="C28" s="107"/>
      <c r="D28" s="108">
        <f>SUM(D4:D27)</f>
        <v>0</v>
      </c>
      <c r="E28" s="107"/>
      <c r="F28" s="3"/>
      <c r="G28" s="109">
        <f>SUM(G4:G27)</f>
        <v>39</v>
      </c>
      <c r="H28" s="109">
        <f>SUM(H4:H27)</f>
        <v>10000000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140" zoomScaleNormal="140" zoomScalePageLayoutView="0" workbookViewId="0" topLeftCell="A1">
      <selection activeCell="H27" sqref="H27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340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7" s="57" customFormat="1" ht="29.25" customHeight="1">
      <c r="B2" s="450" t="s">
        <v>341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P2" s="111" t="s">
        <v>97</v>
      </c>
      <c r="Q2" s="111" t="s">
        <v>98</v>
      </c>
    </row>
    <row r="3" spans="1:17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  <c r="P3" s="112">
        <v>11</v>
      </c>
      <c r="Q3" s="59" t="s">
        <v>76</v>
      </c>
    </row>
    <row r="4" spans="1:17" s="82" customFormat="1" ht="18" customHeight="1">
      <c r="A4" s="154" t="s">
        <v>30</v>
      </c>
      <c r="B4" s="251">
        <v>9.8</v>
      </c>
      <c r="C4" s="73">
        <v>24</v>
      </c>
      <c r="D4" s="74">
        <v>28</v>
      </c>
      <c r="E4" s="75"/>
      <c r="F4" s="73">
        <v>1</v>
      </c>
      <c r="G4" s="73">
        <v>10</v>
      </c>
      <c r="H4" s="76">
        <f aca="true" t="shared" si="0" ref="H4:H11">N4+I4</f>
        <v>2300000</v>
      </c>
      <c r="I4" s="77">
        <f aca="true" t="shared" si="1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2250000</v>
      </c>
      <c r="P4" s="72">
        <v>12</v>
      </c>
      <c r="Q4" s="59">
        <f>ROUND(P4*18/P3,0)</f>
        <v>20</v>
      </c>
    </row>
    <row r="5" spans="1:17" s="82" customFormat="1" ht="18" customHeight="1">
      <c r="A5" s="154" t="s">
        <v>12</v>
      </c>
      <c r="B5" s="251">
        <v>17.3</v>
      </c>
      <c r="C5" s="73">
        <v>21</v>
      </c>
      <c r="D5" s="74">
        <v>33</v>
      </c>
      <c r="E5" s="75"/>
      <c r="F5" s="73">
        <v>2</v>
      </c>
      <c r="G5" s="73">
        <v>8</v>
      </c>
      <c r="H5" s="76">
        <f t="shared" si="0"/>
        <v>1850000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1800000</v>
      </c>
      <c r="P5" s="72">
        <v>13</v>
      </c>
      <c r="Q5" s="59">
        <f>ROUND(P5*18/P3,0)</f>
        <v>21</v>
      </c>
    </row>
    <row r="6" spans="1:17" s="82" customFormat="1" ht="18" customHeight="1">
      <c r="A6" s="154" t="s">
        <v>48</v>
      </c>
      <c r="B6" s="251">
        <v>7.6</v>
      </c>
      <c r="C6" s="74">
        <v>20</v>
      </c>
      <c r="D6" s="74">
        <v>31</v>
      </c>
      <c r="E6" s="75">
        <v>5.4</v>
      </c>
      <c r="F6" s="12">
        <v>3</v>
      </c>
      <c r="G6" s="12">
        <v>6</v>
      </c>
      <c r="H6" s="76">
        <v>1500000</v>
      </c>
      <c r="I6" s="77">
        <f t="shared" si="1"/>
        <v>590000</v>
      </c>
      <c r="J6" s="83" t="s">
        <v>88</v>
      </c>
      <c r="K6" s="84"/>
      <c r="L6" s="85"/>
      <c r="M6" s="86">
        <v>6</v>
      </c>
      <c r="N6" s="76">
        <f>N12*15%</f>
        <v>1350000</v>
      </c>
      <c r="P6" s="72">
        <v>14</v>
      </c>
      <c r="Q6" s="59">
        <f>ROUND(P6*18/P3,0)</f>
        <v>23</v>
      </c>
    </row>
    <row r="7" spans="1:17" s="82" customFormat="1" ht="18" customHeight="1">
      <c r="A7" s="154" t="s">
        <v>14</v>
      </c>
      <c r="B7" s="251">
        <v>12.1</v>
      </c>
      <c r="C7" s="12">
        <v>20</v>
      </c>
      <c r="D7" s="93">
        <v>28</v>
      </c>
      <c r="E7" s="89"/>
      <c r="F7" s="73">
        <v>4</v>
      </c>
      <c r="G7" s="73">
        <v>5</v>
      </c>
      <c r="H7" s="76">
        <f t="shared" si="0"/>
        <v>1130000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1080000</v>
      </c>
      <c r="O7" s="87"/>
      <c r="P7" s="72">
        <v>15</v>
      </c>
      <c r="Q7" s="59">
        <f>ROUND(P7*18/P3,0)</f>
        <v>25</v>
      </c>
    </row>
    <row r="8" spans="1:17" s="82" customFormat="1" ht="18" customHeight="1">
      <c r="A8" s="154" t="s">
        <v>32</v>
      </c>
      <c r="B8" s="251">
        <v>13.3</v>
      </c>
      <c r="C8" s="73">
        <v>20</v>
      </c>
      <c r="D8" s="74">
        <v>34</v>
      </c>
      <c r="E8" s="75"/>
      <c r="F8" s="73">
        <v>5</v>
      </c>
      <c r="G8" s="73">
        <v>4</v>
      </c>
      <c r="H8" s="76">
        <f t="shared" si="0"/>
        <v>950000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900000</v>
      </c>
      <c r="P8" s="72">
        <v>16</v>
      </c>
      <c r="Q8" s="59">
        <f>ROUND(P8*18/P3,0)</f>
        <v>26</v>
      </c>
    </row>
    <row r="9" spans="1:17" s="82" customFormat="1" ht="18" customHeight="1">
      <c r="A9" s="154" t="s">
        <v>24</v>
      </c>
      <c r="B9" s="251">
        <v>13.3</v>
      </c>
      <c r="C9" s="74">
        <v>19</v>
      </c>
      <c r="D9" s="93">
        <v>34</v>
      </c>
      <c r="E9" s="89"/>
      <c r="F9" s="90">
        <v>6</v>
      </c>
      <c r="G9" s="90">
        <v>3</v>
      </c>
      <c r="H9" s="76">
        <f t="shared" si="0"/>
        <v>770000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720000</v>
      </c>
      <c r="P9" s="72">
        <v>17</v>
      </c>
      <c r="Q9" s="59">
        <f>ROUND(P9*18/P3,0)</f>
        <v>28</v>
      </c>
    </row>
    <row r="10" spans="1:17" s="82" customFormat="1" ht="18" customHeight="1">
      <c r="A10" s="154" t="s">
        <v>42</v>
      </c>
      <c r="B10" s="251">
        <v>18.3</v>
      </c>
      <c r="C10" s="73">
        <v>19</v>
      </c>
      <c r="D10" s="74">
        <v>31</v>
      </c>
      <c r="E10" s="75"/>
      <c r="F10" s="73">
        <v>7</v>
      </c>
      <c r="G10" s="73">
        <v>2</v>
      </c>
      <c r="H10" s="76">
        <f t="shared" si="0"/>
        <v>590000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540000</v>
      </c>
      <c r="P10" s="72">
        <v>18</v>
      </c>
      <c r="Q10" s="59">
        <f>ROUND(P10*18/P3,0)</f>
        <v>29</v>
      </c>
    </row>
    <row r="11" spans="1:17" s="82" customFormat="1" ht="18" customHeight="1">
      <c r="A11" s="154" t="s">
        <v>8</v>
      </c>
      <c r="B11" s="251">
        <v>19.9</v>
      </c>
      <c r="C11" s="74">
        <v>19</v>
      </c>
      <c r="D11" s="74">
        <v>36</v>
      </c>
      <c r="E11" s="75"/>
      <c r="F11" s="73">
        <v>8</v>
      </c>
      <c r="G11" s="73">
        <v>1</v>
      </c>
      <c r="H11" s="76">
        <f t="shared" si="0"/>
        <v>410000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360000</v>
      </c>
      <c r="P11" s="72">
        <v>19</v>
      </c>
      <c r="Q11" s="59">
        <f>ROUND(P11*18/P3,0)</f>
        <v>31</v>
      </c>
    </row>
    <row r="12" spans="1:17" s="82" customFormat="1" ht="18" customHeight="1">
      <c r="A12" s="154" t="s">
        <v>18</v>
      </c>
      <c r="B12" s="251">
        <v>13.6</v>
      </c>
      <c r="C12" s="73">
        <v>18</v>
      </c>
      <c r="D12" s="74">
        <v>33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9000000</v>
      </c>
      <c r="P12" s="72">
        <v>20</v>
      </c>
      <c r="Q12" s="59">
        <f>ROUND(P12*18/P3,0)</f>
        <v>33</v>
      </c>
    </row>
    <row r="13" spans="1:17" s="82" customFormat="1" ht="18" customHeight="1">
      <c r="A13" s="154" t="s">
        <v>22</v>
      </c>
      <c r="B13" s="251">
        <v>12.2</v>
      </c>
      <c r="C13" s="73">
        <v>16</v>
      </c>
      <c r="D13" s="74">
        <v>34</v>
      </c>
      <c r="E13" s="75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540000</v>
      </c>
      <c r="P13" s="72">
        <v>21</v>
      </c>
      <c r="Q13" s="59">
        <f>ROUND(P13*18/P3,0)</f>
        <v>34</v>
      </c>
    </row>
    <row r="14" spans="1:17" s="82" customFormat="1" ht="18" customHeight="1">
      <c r="A14" s="154" t="s">
        <v>38</v>
      </c>
      <c r="B14" s="251">
        <v>12.7</v>
      </c>
      <c r="C14" s="73">
        <v>16</v>
      </c>
      <c r="D14" s="74">
        <v>34</v>
      </c>
      <c r="E14" s="89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  <c r="P14" s="72">
        <v>22</v>
      </c>
      <c r="Q14" s="59">
        <f>ROUND(P14*18/P3,0)</f>
        <v>36</v>
      </c>
    </row>
    <row r="15" spans="1:17" s="82" customFormat="1" ht="18" customHeight="1">
      <c r="A15" s="154" t="s">
        <v>34</v>
      </c>
      <c r="B15" s="251">
        <v>15.6</v>
      </c>
      <c r="C15" s="73">
        <v>16</v>
      </c>
      <c r="D15" s="74">
        <v>34</v>
      </c>
      <c r="E15" s="89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  <c r="P15" s="72">
        <v>23</v>
      </c>
      <c r="Q15" s="59">
        <f>ROUND(P15*18/P3,0)</f>
        <v>38</v>
      </c>
    </row>
    <row r="16" spans="1:17" s="82" customFormat="1" ht="18" customHeight="1">
      <c r="A16" s="154" t="s">
        <v>40</v>
      </c>
      <c r="B16" s="251">
        <v>20.7</v>
      </c>
      <c r="C16" s="74">
        <v>16</v>
      </c>
      <c r="D16" s="74">
        <v>36</v>
      </c>
      <c r="E16" s="89"/>
      <c r="F16" s="12"/>
      <c r="G16" s="12"/>
      <c r="H16" s="76">
        <f t="shared" si="2"/>
        <v>50000</v>
      </c>
      <c r="I16" s="77">
        <f t="shared" si="3"/>
        <v>50000</v>
      </c>
      <c r="P16" s="72">
        <v>24</v>
      </c>
      <c r="Q16" s="59">
        <f>ROUND(P16*18/P3,0)</f>
        <v>39</v>
      </c>
    </row>
    <row r="17" spans="1:17" s="82" customFormat="1" ht="18" customHeight="1">
      <c r="A17" s="154" t="s">
        <v>28</v>
      </c>
      <c r="B17" s="251">
        <v>11.1</v>
      </c>
      <c r="C17" s="73">
        <v>13</v>
      </c>
      <c r="D17" s="74">
        <v>38</v>
      </c>
      <c r="E17" s="75">
        <v>5.05</v>
      </c>
      <c r="F17" s="12"/>
      <c r="G17" s="12"/>
      <c r="H17" s="76">
        <f t="shared" si="2"/>
        <v>590000</v>
      </c>
      <c r="I17" s="77">
        <f t="shared" si="3"/>
        <v>590000</v>
      </c>
      <c r="O17" s="87"/>
      <c r="P17" s="72">
        <v>25</v>
      </c>
      <c r="Q17" s="59">
        <f>ROUND(P17*18/P3,0)</f>
        <v>41</v>
      </c>
    </row>
    <row r="18" spans="1:17" s="82" customFormat="1" ht="18" customHeight="1">
      <c r="A18" s="154" t="s">
        <v>46</v>
      </c>
      <c r="B18" s="251">
        <v>21</v>
      </c>
      <c r="C18" s="73">
        <v>13</v>
      </c>
      <c r="D18" s="74">
        <v>41</v>
      </c>
      <c r="E18" s="75"/>
      <c r="F18" s="73"/>
      <c r="G18" s="73"/>
      <c r="H18" s="76">
        <f t="shared" si="2"/>
        <v>50000</v>
      </c>
      <c r="I18" s="77">
        <f t="shared" si="3"/>
        <v>50000</v>
      </c>
      <c r="J18" s="8"/>
      <c r="K18" s="8"/>
      <c r="L18" s="8"/>
      <c r="M18" s="8"/>
      <c r="N18" s="8"/>
      <c r="O18" s="88"/>
      <c r="P18" s="72">
        <v>26</v>
      </c>
      <c r="Q18" s="59">
        <f>ROUND(P18*18/P3,0)</f>
        <v>43</v>
      </c>
    </row>
    <row r="19" spans="1:17" s="82" customFormat="1" ht="18" customHeight="1">
      <c r="A19" s="154"/>
      <c r="B19" s="251"/>
      <c r="C19" s="73"/>
      <c r="D19" s="74"/>
      <c r="E19" s="89"/>
      <c r="F19" s="73"/>
      <c r="G19" s="73"/>
      <c r="H19" s="76">
        <f t="shared" si="2"/>
        <v>0</v>
      </c>
      <c r="I19" s="77">
        <f t="shared" si="3"/>
        <v>0</v>
      </c>
      <c r="J19" s="8"/>
      <c r="K19" s="8"/>
      <c r="L19" s="8"/>
      <c r="M19" s="8"/>
      <c r="N19" s="8"/>
      <c r="O19" s="88"/>
      <c r="P19" s="72">
        <v>27</v>
      </c>
      <c r="Q19" s="59">
        <f>ROUND(P19*18/P3,0)</f>
        <v>44</v>
      </c>
    </row>
    <row r="20" spans="1:17" s="57" customFormat="1" ht="18" customHeight="1">
      <c r="A20" s="154"/>
      <c r="B20" s="251"/>
      <c r="C20" s="93"/>
      <c r="D20" s="74"/>
      <c r="E20" s="75"/>
      <c r="F20" s="12"/>
      <c r="G20" s="12"/>
      <c r="H20" s="76">
        <f t="shared" si="2"/>
        <v>0</v>
      </c>
      <c r="I20" s="77">
        <f t="shared" si="3"/>
        <v>0</v>
      </c>
      <c r="J20" s="8"/>
      <c r="K20" s="8"/>
      <c r="L20" s="8"/>
      <c r="M20" s="8"/>
      <c r="N20" s="8"/>
      <c r="P20" s="72">
        <v>28</v>
      </c>
      <c r="Q20" s="59">
        <f>ROUND(P20*18/P3,0)</f>
        <v>46</v>
      </c>
    </row>
    <row r="21" spans="1:17" s="57" customFormat="1" ht="18" customHeight="1">
      <c r="A21" s="154"/>
      <c r="B21" s="251"/>
      <c r="C21" s="74"/>
      <c r="D21" s="74"/>
      <c r="E21" s="75"/>
      <c r="F21" s="12"/>
      <c r="G21" s="12"/>
      <c r="H21" s="76">
        <f t="shared" si="2"/>
        <v>0</v>
      </c>
      <c r="I21" s="77">
        <f t="shared" si="3"/>
        <v>0</v>
      </c>
      <c r="J21" s="8"/>
      <c r="K21" s="8"/>
      <c r="L21" s="8"/>
      <c r="M21" s="8"/>
      <c r="N21" s="8"/>
      <c r="P21" s="72">
        <v>29</v>
      </c>
      <c r="Q21" s="59">
        <f>ROUND(P21*18/P3,0)</f>
        <v>47</v>
      </c>
    </row>
    <row r="22" spans="1:17" s="57" customFormat="1" ht="18" customHeight="1">
      <c r="A22" s="154"/>
      <c r="B22" s="251"/>
      <c r="C22" s="73"/>
      <c r="D22" s="74"/>
      <c r="E22" s="89"/>
      <c r="F22" s="12"/>
      <c r="G22" s="12"/>
      <c r="H22" s="76">
        <f t="shared" si="2"/>
        <v>0</v>
      </c>
      <c r="I22" s="77">
        <f t="shared" si="3"/>
        <v>0</v>
      </c>
      <c r="J22" s="8"/>
      <c r="K22" s="8"/>
      <c r="L22" s="8"/>
      <c r="M22" s="8"/>
      <c r="N22" s="8"/>
      <c r="P22" s="72">
        <v>30</v>
      </c>
      <c r="Q22" s="59">
        <f>ROUND(P22*18/P3,0)</f>
        <v>49</v>
      </c>
    </row>
    <row r="23" spans="1:17" s="57" customFormat="1" ht="18" customHeight="1">
      <c r="A23" s="154"/>
      <c r="B23" s="251"/>
      <c r="C23" s="74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  <c r="J23" s="8"/>
      <c r="K23" s="8"/>
      <c r="L23" s="8"/>
      <c r="M23" s="8"/>
      <c r="N23" s="8"/>
      <c r="P23" s="72">
        <v>31</v>
      </c>
      <c r="Q23" s="59">
        <f>ROUND(P23*18/P3,0)</f>
        <v>51</v>
      </c>
    </row>
    <row r="24" spans="1:17" s="57" customFormat="1" ht="18" customHeight="1">
      <c r="A24" s="154"/>
      <c r="B24" s="251"/>
      <c r="C24" s="73"/>
      <c r="D24" s="106" t="s">
        <v>96</v>
      </c>
      <c r="E24" s="75"/>
      <c r="F24" s="12"/>
      <c r="G24" s="12"/>
      <c r="H24" s="76">
        <f t="shared" si="2"/>
        <v>0</v>
      </c>
      <c r="I24" s="77">
        <f t="shared" si="3"/>
        <v>0</v>
      </c>
      <c r="J24" s="8"/>
      <c r="K24" s="8"/>
      <c r="L24" s="8"/>
      <c r="M24" s="8"/>
      <c r="N24" s="8"/>
      <c r="P24" s="72">
        <v>32</v>
      </c>
      <c r="Q24" s="59">
        <f>ROUND(P24*18/P3,0)</f>
        <v>52</v>
      </c>
    </row>
    <row r="25" spans="1:14" s="57" customFormat="1" ht="18" customHeight="1">
      <c r="A25" s="154"/>
      <c r="B25" s="251"/>
      <c r="C25" s="73"/>
      <c r="D25" s="74"/>
      <c r="E25" s="75"/>
      <c r="F25" s="12"/>
      <c r="G25" s="12"/>
      <c r="H25" s="76">
        <f t="shared" si="2"/>
        <v>0</v>
      </c>
      <c r="I25" s="77">
        <f t="shared" si="3"/>
        <v>0</v>
      </c>
      <c r="J25" s="8"/>
      <c r="K25" s="8"/>
      <c r="L25" s="8"/>
      <c r="M25" s="8"/>
      <c r="N25" s="8"/>
    </row>
    <row r="26" spans="1:14" s="57" customFormat="1" ht="18" customHeight="1">
      <c r="A26" s="154"/>
      <c r="B26" s="251"/>
      <c r="C26" s="73"/>
      <c r="D26" s="74"/>
      <c r="E26" s="89"/>
      <c r="F26" s="73"/>
      <c r="G26" s="73"/>
      <c r="H26" s="76">
        <f t="shared" si="2"/>
        <v>0</v>
      </c>
      <c r="I26" s="77">
        <f t="shared" si="3"/>
        <v>0</v>
      </c>
      <c r="J26" s="8"/>
      <c r="K26" s="8"/>
      <c r="L26" s="8"/>
      <c r="M26" s="8"/>
      <c r="N26" s="8"/>
    </row>
    <row r="27" spans="1:14" s="57" customFormat="1" ht="18" customHeight="1">
      <c r="A27" s="154"/>
      <c r="B27" s="251"/>
      <c r="C27" s="73"/>
      <c r="D27" s="74"/>
      <c r="E27" s="75"/>
      <c r="F27" s="73"/>
      <c r="G27" s="73"/>
      <c r="H27" s="76">
        <f t="shared" si="2"/>
        <v>0</v>
      </c>
      <c r="I27" s="77">
        <f t="shared" si="3"/>
        <v>0</v>
      </c>
      <c r="J27" s="8"/>
      <c r="K27" s="8"/>
      <c r="L27" s="8"/>
      <c r="M27" s="8"/>
      <c r="N27" s="8"/>
    </row>
    <row r="28" spans="1:9" ht="24" customHeight="1" thickBot="1">
      <c r="A28" s="1"/>
      <c r="B28" s="3"/>
      <c r="C28" s="107"/>
      <c r="D28" s="108">
        <f>SUM(D4:D27)</f>
        <v>505</v>
      </c>
      <c r="E28" s="107"/>
      <c r="F28" s="3"/>
      <c r="G28" s="109">
        <f>SUM(G4:G27)</f>
        <v>39</v>
      </c>
      <c r="H28" s="109">
        <f>SUM(H4:H27)</f>
        <v>10390000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41" t="s">
        <v>180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2:17" s="57" customFormat="1" ht="29.25" customHeight="1">
      <c r="B2" s="450" t="s">
        <v>338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P2" s="111" t="s">
        <v>97</v>
      </c>
      <c r="Q2" s="111" t="s">
        <v>98</v>
      </c>
    </row>
    <row r="3" spans="1:17" s="71" customFormat="1" ht="27" customHeight="1">
      <c r="A3" s="60" t="s">
        <v>77</v>
      </c>
      <c r="B3" s="61" t="s">
        <v>78</v>
      </c>
      <c r="C3" s="61" t="s">
        <v>79</v>
      </c>
      <c r="D3" s="61" t="s">
        <v>80</v>
      </c>
      <c r="E3" s="61" t="s">
        <v>81</v>
      </c>
      <c r="F3" s="62" t="s">
        <v>82</v>
      </c>
      <c r="G3" s="63" t="s">
        <v>83</v>
      </c>
      <c r="H3" s="64" t="s">
        <v>84</v>
      </c>
      <c r="I3" s="65"/>
      <c r="J3" s="66" t="s">
        <v>82</v>
      </c>
      <c r="K3" s="67"/>
      <c r="L3" s="68"/>
      <c r="M3" s="69" t="s">
        <v>83</v>
      </c>
      <c r="N3" s="70" t="s">
        <v>85</v>
      </c>
      <c r="P3" s="112">
        <v>12</v>
      </c>
      <c r="Q3" s="59" t="s">
        <v>76</v>
      </c>
    </row>
    <row r="4" spans="1:17" s="82" customFormat="1" ht="18" customHeight="1">
      <c r="A4" s="154" t="s">
        <v>32</v>
      </c>
      <c r="B4" s="251">
        <v>14.2</v>
      </c>
      <c r="C4" s="73">
        <v>27</v>
      </c>
      <c r="D4" s="74">
        <v>30</v>
      </c>
      <c r="E4" s="75"/>
      <c r="F4" s="73">
        <v>1</v>
      </c>
      <c r="G4" s="73">
        <v>10</v>
      </c>
      <c r="H4" s="76">
        <f aca="true" t="shared" si="0" ref="H4:H11">N4+I4</f>
        <v>2050000</v>
      </c>
      <c r="I4" s="77">
        <f aca="true" t="shared" si="1" ref="I4:I11">IF(E4&gt;0,$N$13,0)+IF(C4&gt;0,50000,0)+IF(C12&lt;0,50000,0)</f>
        <v>50000</v>
      </c>
      <c r="J4" s="78" t="s">
        <v>86</v>
      </c>
      <c r="K4" s="79"/>
      <c r="L4" s="80"/>
      <c r="M4" s="81">
        <v>10</v>
      </c>
      <c r="N4" s="76">
        <f>N12*25%</f>
        <v>2000000</v>
      </c>
      <c r="P4" s="72">
        <v>20</v>
      </c>
      <c r="Q4" s="59">
        <f>ROUND(P4*18/P3,0)</f>
        <v>30</v>
      </c>
    </row>
    <row r="5" spans="1:17" s="82" customFormat="1" ht="18" customHeight="1">
      <c r="A5" s="154" t="s">
        <v>38</v>
      </c>
      <c r="B5" s="251">
        <v>13</v>
      </c>
      <c r="C5" s="73">
        <v>25</v>
      </c>
      <c r="D5" s="74">
        <v>32</v>
      </c>
      <c r="E5" s="75"/>
      <c r="F5" s="73">
        <v>2</v>
      </c>
      <c r="G5" s="73">
        <v>8</v>
      </c>
      <c r="H5" s="76">
        <f t="shared" si="0"/>
        <v>1650000</v>
      </c>
      <c r="I5" s="77">
        <f t="shared" si="1"/>
        <v>50000</v>
      </c>
      <c r="J5" s="83" t="s">
        <v>87</v>
      </c>
      <c r="K5" s="84"/>
      <c r="L5" s="85"/>
      <c r="M5" s="86">
        <v>8</v>
      </c>
      <c r="N5" s="76">
        <f>N12*20%</f>
        <v>1600000</v>
      </c>
      <c r="P5" s="72">
        <v>21</v>
      </c>
      <c r="Q5" s="59">
        <f>ROUND(P5*18/P3,0)</f>
        <v>32</v>
      </c>
    </row>
    <row r="6" spans="1:17" s="82" customFormat="1" ht="18" customHeight="1">
      <c r="A6" s="154" t="s">
        <v>48</v>
      </c>
      <c r="B6" s="251">
        <v>7.5</v>
      </c>
      <c r="C6" s="73">
        <v>24</v>
      </c>
      <c r="D6" s="74">
        <v>30</v>
      </c>
      <c r="E6" s="89"/>
      <c r="F6" s="12">
        <v>3</v>
      </c>
      <c r="G6" s="12">
        <v>6</v>
      </c>
      <c r="H6" s="76">
        <f t="shared" si="0"/>
        <v>1250000</v>
      </c>
      <c r="I6" s="77">
        <f t="shared" si="1"/>
        <v>50000</v>
      </c>
      <c r="J6" s="83" t="s">
        <v>88</v>
      </c>
      <c r="K6" s="84"/>
      <c r="L6" s="85"/>
      <c r="M6" s="86">
        <v>6</v>
      </c>
      <c r="N6" s="76">
        <f>N12*15%</f>
        <v>1200000</v>
      </c>
      <c r="P6" s="72">
        <v>22</v>
      </c>
      <c r="Q6" s="59">
        <f>ROUND(P6*18/P3,0)</f>
        <v>33</v>
      </c>
    </row>
    <row r="7" spans="1:17" s="82" customFormat="1" ht="18" customHeight="1">
      <c r="A7" s="154" t="s">
        <v>10</v>
      </c>
      <c r="B7" s="251">
        <v>12.9</v>
      </c>
      <c r="C7" s="73">
        <v>24</v>
      </c>
      <c r="D7" s="74">
        <v>30</v>
      </c>
      <c r="E7" s="89"/>
      <c r="F7" s="73">
        <v>4</v>
      </c>
      <c r="G7" s="73">
        <v>5</v>
      </c>
      <c r="H7" s="76">
        <f t="shared" si="0"/>
        <v>1010000</v>
      </c>
      <c r="I7" s="77">
        <f t="shared" si="1"/>
        <v>50000</v>
      </c>
      <c r="J7" s="83" t="s">
        <v>89</v>
      </c>
      <c r="K7" s="84"/>
      <c r="L7" s="85"/>
      <c r="M7" s="86">
        <v>5</v>
      </c>
      <c r="N7" s="76">
        <f>N12*12%</f>
        <v>960000</v>
      </c>
      <c r="O7" s="87"/>
      <c r="P7" s="72">
        <v>23</v>
      </c>
      <c r="Q7" s="59">
        <f>ROUND(P7*18/P3,0)</f>
        <v>35</v>
      </c>
    </row>
    <row r="8" spans="1:17" s="82" customFormat="1" ht="18" customHeight="1">
      <c r="A8" s="154" t="s">
        <v>28</v>
      </c>
      <c r="B8" s="251">
        <v>11.1</v>
      </c>
      <c r="C8" s="74">
        <v>22</v>
      </c>
      <c r="D8" s="74">
        <v>36</v>
      </c>
      <c r="E8" s="75"/>
      <c r="F8" s="73">
        <v>5</v>
      </c>
      <c r="G8" s="73">
        <v>4</v>
      </c>
      <c r="H8" s="76">
        <f t="shared" si="0"/>
        <v>850000</v>
      </c>
      <c r="I8" s="77">
        <f t="shared" si="1"/>
        <v>50000</v>
      </c>
      <c r="J8" s="83" t="s">
        <v>90</v>
      </c>
      <c r="K8" s="84"/>
      <c r="L8" s="85"/>
      <c r="M8" s="86">
        <v>4</v>
      </c>
      <c r="N8" s="76">
        <f>N12*10%</f>
        <v>800000</v>
      </c>
      <c r="P8" s="72">
        <v>24</v>
      </c>
      <c r="Q8" s="59">
        <f>ROUND(P8*18/P3,0)</f>
        <v>36</v>
      </c>
    </row>
    <row r="9" spans="1:17" s="82" customFormat="1" ht="18" customHeight="1">
      <c r="A9" s="154" t="s">
        <v>18</v>
      </c>
      <c r="B9" s="251">
        <v>13.6</v>
      </c>
      <c r="C9" s="73">
        <v>22</v>
      </c>
      <c r="D9" s="74">
        <v>33</v>
      </c>
      <c r="E9" s="75"/>
      <c r="F9" s="90">
        <v>6</v>
      </c>
      <c r="G9" s="90">
        <v>3</v>
      </c>
      <c r="H9" s="76">
        <f t="shared" si="0"/>
        <v>690000</v>
      </c>
      <c r="I9" s="77">
        <f t="shared" si="1"/>
        <v>50000</v>
      </c>
      <c r="J9" s="83" t="s">
        <v>91</v>
      </c>
      <c r="K9" s="84"/>
      <c r="L9" s="85"/>
      <c r="M9" s="86">
        <v>3</v>
      </c>
      <c r="N9" s="76">
        <f>N12*8%</f>
        <v>640000</v>
      </c>
      <c r="P9" s="72">
        <v>25</v>
      </c>
      <c r="Q9" s="59">
        <f>ROUND(P9*18/P3,0)</f>
        <v>38</v>
      </c>
    </row>
    <row r="10" spans="1:17" s="82" customFormat="1" ht="18" customHeight="1">
      <c r="A10" s="154" t="s">
        <v>44</v>
      </c>
      <c r="B10" s="251">
        <v>15.7</v>
      </c>
      <c r="C10" s="73">
        <v>22</v>
      </c>
      <c r="D10" s="74">
        <v>33</v>
      </c>
      <c r="E10" s="75"/>
      <c r="F10" s="73">
        <v>7</v>
      </c>
      <c r="G10" s="73">
        <v>2</v>
      </c>
      <c r="H10" s="76">
        <f t="shared" si="0"/>
        <v>530000</v>
      </c>
      <c r="I10" s="77">
        <f t="shared" si="1"/>
        <v>50000</v>
      </c>
      <c r="J10" s="83" t="s">
        <v>92</v>
      </c>
      <c r="K10" s="84"/>
      <c r="L10" s="85"/>
      <c r="M10" s="86">
        <v>2</v>
      </c>
      <c r="N10" s="76">
        <f>N12*6%</f>
        <v>480000</v>
      </c>
      <c r="P10" s="72">
        <v>26</v>
      </c>
      <c r="Q10" s="59">
        <f>ROUND(P10*18/P3,0)</f>
        <v>39</v>
      </c>
    </row>
    <row r="11" spans="1:17" s="82" customFormat="1" ht="18" customHeight="1">
      <c r="A11" s="154" t="s">
        <v>30</v>
      </c>
      <c r="B11" s="251">
        <v>9.6</v>
      </c>
      <c r="C11" s="73">
        <v>20</v>
      </c>
      <c r="D11" s="74">
        <v>36</v>
      </c>
      <c r="E11" s="75"/>
      <c r="F11" s="73">
        <v>8</v>
      </c>
      <c r="G11" s="73">
        <v>1</v>
      </c>
      <c r="H11" s="76">
        <f t="shared" si="0"/>
        <v>370000</v>
      </c>
      <c r="I11" s="77">
        <f t="shared" si="1"/>
        <v>50000</v>
      </c>
      <c r="J11" s="83" t="s">
        <v>93</v>
      </c>
      <c r="K11" s="84"/>
      <c r="L11" s="85"/>
      <c r="M11" s="86">
        <v>1</v>
      </c>
      <c r="N11" s="76">
        <f>N12*4%</f>
        <v>320000</v>
      </c>
      <c r="P11" s="72">
        <v>27</v>
      </c>
      <c r="Q11" s="59">
        <f>ROUND(P11*18/P3,0)</f>
        <v>41</v>
      </c>
    </row>
    <row r="12" spans="1:17" s="82" customFormat="1" ht="18" customHeight="1">
      <c r="A12" s="154" t="s">
        <v>8</v>
      </c>
      <c r="B12" s="251">
        <v>19.9</v>
      </c>
      <c r="C12" s="74">
        <v>20</v>
      </c>
      <c r="D12" s="74">
        <v>30</v>
      </c>
      <c r="E12" s="75"/>
      <c r="F12" s="73"/>
      <c r="G12" s="73"/>
      <c r="H12" s="76">
        <f aca="true" t="shared" si="2" ref="H12:H27">I12</f>
        <v>50000</v>
      </c>
      <c r="I12" s="77">
        <f aca="true" t="shared" si="3" ref="I12:I27">IF(E12&gt;0,$N$13,0)+IF(C12&gt;0,50000,0)+IF(C12&lt;0,50000,0)</f>
        <v>50000</v>
      </c>
      <c r="J12" s="91" t="s">
        <v>94</v>
      </c>
      <c r="K12" s="84"/>
      <c r="L12" s="85"/>
      <c r="M12" s="86"/>
      <c r="N12" s="92">
        <v>8000000</v>
      </c>
      <c r="P12" s="72">
        <v>28</v>
      </c>
      <c r="Q12" s="59">
        <f>ROUND(P12*18/P3,0)</f>
        <v>42</v>
      </c>
    </row>
    <row r="13" spans="1:17" s="82" customFormat="1" ht="18" customHeight="1">
      <c r="A13" s="154" t="s">
        <v>40</v>
      </c>
      <c r="B13" s="251">
        <v>21.1</v>
      </c>
      <c r="C13" s="12">
        <v>19</v>
      </c>
      <c r="D13" s="74">
        <v>38</v>
      </c>
      <c r="E13" s="89"/>
      <c r="F13" s="73"/>
      <c r="G13" s="73"/>
      <c r="H13" s="76">
        <f t="shared" si="2"/>
        <v>50000</v>
      </c>
      <c r="I13" s="77">
        <f t="shared" si="3"/>
        <v>50000</v>
      </c>
      <c r="J13" s="94" t="s">
        <v>95</v>
      </c>
      <c r="K13" s="95"/>
      <c r="L13" s="96"/>
      <c r="M13" s="97">
        <v>1</v>
      </c>
      <c r="N13" s="98">
        <f>N10</f>
        <v>480000</v>
      </c>
      <c r="P13" s="72">
        <v>29</v>
      </c>
      <c r="Q13" s="59">
        <f>ROUND(P13*18/P3,0)</f>
        <v>44</v>
      </c>
    </row>
    <row r="14" spans="1:17" s="82" customFormat="1" ht="18" customHeight="1">
      <c r="A14" s="154" t="s">
        <v>20</v>
      </c>
      <c r="B14" s="251">
        <v>16.1</v>
      </c>
      <c r="C14" s="73">
        <v>17</v>
      </c>
      <c r="D14" s="74">
        <v>41</v>
      </c>
      <c r="E14" s="75"/>
      <c r="F14" s="73"/>
      <c r="G14" s="73"/>
      <c r="H14" s="76">
        <f t="shared" si="2"/>
        <v>50000</v>
      </c>
      <c r="I14" s="77">
        <f t="shared" si="3"/>
        <v>50000</v>
      </c>
      <c r="J14" s="99"/>
      <c r="K14" s="95"/>
      <c r="L14" s="95"/>
      <c r="M14" s="100"/>
      <c r="N14" s="101"/>
      <c r="P14" s="72">
        <v>30</v>
      </c>
      <c r="Q14" s="59">
        <f>ROUND(P14*18/P3,0)</f>
        <v>45</v>
      </c>
    </row>
    <row r="15" spans="1:17" s="82" customFormat="1" ht="18" customHeight="1">
      <c r="A15" s="154" t="s">
        <v>34</v>
      </c>
      <c r="B15" s="251">
        <v>15.5</v>
      </c>
      <c r="C15" s="73">
        <v>16</v>
      </c>
      <c r="D15" s="74">
        <v>41</v>
      </c>
      <c r="E15" s="89"/>
      <c r="F15" s="73"/>
      <c r="G15" s="73"/>
      <c r="H15" s="76">
        <f t="shared" si="2"/>
        <v>50000</v>
      </c>
      <c r="I15" s="77">
        <f t="shared" si="3"/>
        <v>50000</v>
      </c>
      <c r="J15" s="102"/>
      <c r="K15" s="103"/>
      <c r="L15" s="103"/>
      <c r="M15" s="104"/>
      <c r="N15" s="105"/>
      <c r="P15" s="72">
        <v>31</v>
      </c>
      <c r="Q15" s="59">
        <f>ROUND(P15*18/P3,0)</f>
        <v>47</v>
      </c>
    </row>
    <row r="16" spans="1:17" s="82" customFormat="1" ht="18" customHeight="1">
      <c r="A16" s="154" t="s">
        <v>42</v>
      </c>
      <c r="B16" s="251">
        <v>18.1</v>
      </c>
      <c r="C16" s="74">
        <v>16</v>
      </c>
      <c r="D16" s="74">
        <v>38</v>
      </c>
      <c r="E16" s="75"/>
      <c r="F16" s="12"/>
      <c r="G16" s="12"/>
      <c r="H16" s="76">
        <f t="shared" si="2"/>
        <v>50000</v>
      </c>
      <c r="I16" s="77">
        <f t="shared" si="3"/>
        <v>50000</v>
      </c>
      <c r="P16" s="72">
        <v>32</v>
      </c>
      <c r="Q16" s="59">
        <f>ROUND(P16*18/P3,0)</f>
        <v>48</v>
      </c>
    </row>
    <row r="17" spans="1:17" s="82" customFormat="1" ht="18" customHeight="1">
      <c r="A17" s="154" t="s">
        <v>16</v>
      </c>
      <c r="B17" s="251">
        <v>20.2</v>
      </c>
      <c r="C17" s="73">
        <v>16</v>
      </c>
      <c r="D17" s="74">
        <v>38</v>
      </c>
      <c r="E17" s="89">
        <v>0.16</v>
      </c>
      <c r="F17" s="12"/>
      <c r="G17" s="12"/>
      <c r="H17" s="76">
        <f t="shared" si="2"/>
        <v>530000</v>
      </c>
      <c r="I17" s="77">
        <f t="shared" si="3"/>
        <v>530000</v>
      </c>
      <c r="O17" s="87"/>
      <c r="P17" s="72">
        <v>33</v>
      </c>
      <c r="Q17" s="59">
        <f>ROUND(P17*18/P3,0)</f>
        <v>50</v>
      </c>
    </row>
    <row r="18" spans="1:17" s="82" customFormat="1" ht="18" customHeight="1">
      <c r="A18" s="154"/>
      <c r="B18" s="251"/>
      <c r="C18" s="93"/>
      <c r="D18" s="74"/>
      <c r="E18" s="75"/>
      <c r="F18" s="73"/>
      <c r="G18" s="73"/>
      <c r="H18" s="76">
        <f t="shared" si="2"/>
        <v>0</v>
      </c>
      <c r="I18" s="77">
        <f t="shared" si="3"/>
        <v>0</v>
      </c>
      <c r="J18" s="8"/>
      <c r="K18" s="8"/>
      <c r="L18" s="8"/>
      <c r="M18" s="8"/>
      <c r="N18" s="8"/>
      <c r="O18" s="88"/>
      <c r="P18" s="72">
        <v>34</v>
      </c>
      <c r="Q18" s="59">
        <f>ROUND(P18*18/P3,0)</f>
        <v>51</v>
      </c>
    </row>
    <row r="19" spans="1:17" s="82" customFormat="1" ht="18" customHeight="1">
      <c r="A19" s="154"/>
      <c r="B19" s="251"/>
      <c r="C19" s="74"/>
      <c r="D19" s="74"/>
      <c r="E19" s="89"/>
      <c r="F19" s="73"/>
      <c r="G19" s="73"/>
      <c r="H19" s="76">
        <f t="shared" si="2"/>
        <v>0</v>
      </c>
      <c r="I19" s="77">
        <f t="shared" si="3"/>
        <v>0</v>
      </c>
      <c r="J19" s="8"/>
      <c r="K19" s="8"/>
      <c r="L19" s="8"/>
      <c r="M19" s="8"/>
      <c r="N19" s="8"/>
      <c r="O19" s="88"/>
      <c r="P19" s="72">
        <v>35</v>
      </c>
      <c r="Q19" s="59">
        <f>ROUND(P19*18/P3,0)</f>
        <v>53</v>
      </c>
    </row>
    <row r="20" spans="1:17" s="57" customFormat="1" ht="18" customHeight="1">
      <c r="A20" s="154"/>
      <c r="B20" s="251"/>
      <c r="C20" s="73"/>
      <c r="D20" s="74"/>
      <c r="E20" s="75"/>
      <c r="F20" s="12"/>
      <c r="G20" s="12"/>
      <c r="H20" s="76">
        <f t="shared" si="2"/>
        <v>0</v>
      </c>
      <c r="I20" s="77">
        <f t="shared" si="3"/>
        <v>0</v>
      </c>
      <c r="J20" s="8"/>
      <c r="K20" s="8"/>
      <c r="L20" s="8"/>
      <c r="M20" s="8"/>
      <c r="N20" s="8"/>
      <c r="P20" s="72">
        <v>36</v>
      </c>
      <c r="Q20" s="59">
        <f>ROUND(P20*18/P3,0)</f>
        <v>54</v>
      </c>
    </row>
    <row r="21" spans="1:17" s="57" customFormat="1" ht="18" customHeight="1">
      <c r="A21" s="154"/>
      <c r="B21" s="251"/>
      <c r="C21" s="73"/>
      <c r="D21" s="74"/>
      <c r="E21" s="75"/>
      <c r="F21" s="12"/>
      <c r="G21" s="12"/>
      <c r="H21" s="76">
        <f t="shared" si="2"/>
        <v>0</v>
      </c>
      <c r="I21" s="77">
        <f t="shared" si="3"/>
        <v>0</v>
      </c>
      <c r="J21" s="8"/>
      <c r="K21" s="8"/>
      <c r="L21" s="8"/>
      <c r="M21" s="8"/>
      <c r="N21" s="8"/>
      <c r="P21" s="72">
        <v>37</v>
      </c>
      <c r="Q21" s="59">
        <f>ROUND(P21*18/P3,0)</f>
        <v>56</v>
      </c>
    </row>
    <row r="22" spans="1:17" s="57" customFormat="1" ht="18" customHeight="1">
      <c r="A22" s="154"/>
      <c r="B22" s="251"/>
      <c r="C22" s="73"/>
      <c r="D22" s="74"/>
      <c r="E22" s="75"/>
      <c r="F22" s="12"/>
      <c r="G22" s="12"/>
      <c r="H22" s="76">
        <f t="shared" si="2"/>
        <v>0</v>
      </c>
      <c r="I22" s="77">
        <f t="shared" si="3"/>
        <v>0</v>
      </c>
      <c r="J22" s="8"/>
      <c r="K22" s="8"/>
      <c r="L22" s="8"/>
      <c r="M22" s="8"/>
      <c r="N22" s="8"/>
      <c r="P22" s="72">
        <v>38</v>
      </c>
      <c r="Q22" s="59">
        <f>ROUND(P22*18/P3,0)</f>
        <v>57</v>
      </c>
    </row>
    <row r="23" spans="1:17" s="57" customFormat="1" ht="18" customHeight="1">
      <c r="A23" s="154"/>
      <c r="B23" s="251"/>
      <c r="C23" s="73"/>
      <c r="D23" s="74"/>
      <c r="E23" s="75"/>
      <c r="F23" s="12"/>
      <c r="G23" s="12"/>
      <c r="H23" s="76">
        <f t="shared" si="2"/>
        <v>0</v>
      </c>
      <c r="I23" s="77">
        <f t="shared" si="3"/>
        <v>0</v>
      </c>
      <c r="J23" s="8"/>
      <c r="K23" s="8"/>
      <c r="L23" s="8"/>
      <c r="M23" s="8"/>
      <c r="N23" s="8"/>
      <c r="P23" s="72">
        <v>39</v>
      </c>
      <c r="Q23" s="59">
        <f>ROUND(P23*18/P3,0)</f>
        <v>59</v>
      </c>
    </row>
    <row r="24" spans="1:17" s="57" customFormat="1" ht="18" customHeight="1">
      <c r="A24" s="154"/>
      <c r="B24" s="251"/>
      <c r="C24" s="74"/>
      <c r="D24" s="106" t="s">
        <v>96</v>
      </c>
      <c r="E24" s="75"/>
      <c r="F24" s="12"/>
      <c r="G24" s="12"/>
      <c r="H24" s="76">
        <f t="shared" si="2"/>
        <v>0</v>
      </c>
      <c r="I24" s="77">
        <f t="shared" si="3"/>
        <v>0</v>
      </c>
      <c r="J24" s="8"/>
      <c r="K24" s="8"/>
      <c r="L24" s="8"/>
      <c r="M24" s="8"/>
      <c r="N24" s="8"/>
      <c r="P24" s="72">
        <v>40</v>
      </c>
      <c r="Q24" s="59">
        <f>ROUND(P24*18/P3,0)</f>
        <v>60</v>
      </c>
    </row>
    <row r="25" spans="1:14" s="57" customFormat="1" ht="18" customHeight="1">
      <c r="A25" s="154"/>
      <c r="B25" s="251"/>
      <c r="C25" s="73"/>
      <c r="D25" s="74"/>
      <c r="E25" s="89"/>
      <c r="F25" s="12"/>
      <c r="G25" s="12"/>
      <c r="H25" s="76">
        <f t="shared" si="2"/>
        <v>0</v>
      </c>
      <c r="I25" s="77">
        <f t="shared" si="3"/>
        <v>0</v>
      </c>
      <c r="J25" s="8"/>
      <c r="K25" s="8"/>
      <c r="L25" s="8"/>
      <c r="M25" s="8"/>
      <c r="N25" s="8"/>
    </row>
    <row r="26" spans="1:14" s="57" customFormat="1" ht="18" customHeight="1">
      <c r="A26" s="154"/>
      <c r="B26" s="251"/>
      <c r="C26" s="73"/>
      <c r="D26" s="74"/>
      <c r="E26" s="75"/>
      <c r="F26" s="73"/>
      <c r="G26" s="73"/>
      <c r="H26" s="76">
        <f t="shared" si="2"/>
        <v>0</v>
      </c>
      <c r="I26" s="77">
        <f t="shared" si="3"/>
        <v>0</v>
      </c>
      <c r="J26" s="8"/>
      <c r="K26" s="8"/>
      <c r="L26" s="8"/>
      <c r="M26" s="8"/>
      <c r="N26" s="8"/>
    </row>
    <row r="27" spans="1:14" s="57" customFormat="1" ht="18" customHeight="1">
      <c r="A27" s="154"/>
      <c r="B27" s="190"/>
      <c r="C27" s="74"/>
      <c r="D27" s="106"/>
      <c r="E27" s="89"/>
      <c r="F27" s="73"/>
      <c r="G27" s="73"/>
      <c r="H27" s="76">
        <f t="shared" si="2"/>
        <v>0</v>
      </c>
      <c r="I27" s="77">
        <f t="shared" si="3"/>
        <v>0</v>
      </c>
      <c r="J27" s="8"/>
      <c r="K27" s="8"/>
      <c r="L27" s="8"/>
      <c r="M27" s="8"/>
      <c r="N27" s="8"/>
    </row>
    <row r="28" spans="1:9" ht="24" customHeight="1">
      <c r="A28" s="1"/>
      <c r="B28" s="3"/>
      <c r="C28" s="107"/>
      <c r="D28" s="108">
        <f>SUM(D4:D17)</f>
        <v>486</v>
      </c>
      <c r="E28" s="107"/>
      <c r="F28" s="3"/>
      <c r="G28" s="109">
        <f>SUM(G4:G27)</f>
        <v>39</v>
      </c>
      <c r="H28" s="109">
        <f>SUM(H4:H27)</f>
        <v>9180000</v>
      </c>
      <c r="I28" s="110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Jakob Kristensen</cp:lastModifiedBy>
  <cp:lastPrinted>2016-10-06T20:52:58Z</cp:lastPrinted>
  <dcterms:created xsi:type="dcterms:W3CDTF">2013-09-23T23:59:48Z</dcterms:created>
  <dcterms:modified xsi:type="dcterms:W3CDTF">2016-10-06T21:01:34Z</dcterms:modified>
  <cp:category/>
  <cp:version/>
  <cp:contentType/>
  <cp:contentStatus/>
</cp:coreProperties>
</file>