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drawings/drawing39.xml" ContentType="application/vnd.openxmlformats-officedocument.drawing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20" windowWidth="38200" windowHeight="20020" tabRatio="500" activeTab="5"/>
  </bookViews>
  <sheets>
    <sheet name="Samlet Stilling" sheetId="1" r:id="rId1"/>
    <sheet name="Medlemmer" sheetId="2" r:id="rId2"/>
    <sheet name="Money" sheetId="3" r:id="rId3"/>
    <sheet name="Point" sheetId="4" r:id="rId4"/>
    <sheet name="Putts" sheetId="5" r:id="rId5"/>
    <sheet name="Tæt-flag" sheetId="6" r:id="rId6"/>
    <sheet name="07-10" sheetId="7" r:id="rId7"/>
    <sheet name="05-10" sheetId="8" r:id="rId8"/>
    <sheet name="28-09" sheetId="9" r:id="rId9"/>
    <sheet name="21-09" sheetId="10" r:id="rId10"/>
    <sheet name="14-09" sheetId="11" r:id="rId11"/>
    <sheet name="07-09" sheetId="12" r:id="rId12"/>
    <sheet name="03-09" sheetId="13" r:id="rId13"/>
    <sheet name="02-09" sheetId="14" r:id="rId14"/>
    <sheet name="31-08" sheetId="15" r:id="rId15"/>
    <sheet name="24-08" sheetId="16" r:id="rId16"/>
    <sheet name="17-08" sheetId="17" r:id="rId17"/>
    <sheet name="10-08" sheetId="18" r:id="rId18"/>
    <sheet name="03-08" sheetId="19" r:id="rId19"/>
    <sheet name="27-07" sheetId="20" r:id="rId20"/>
    <sheet name="20-07" sheetId="21" r:id="rId21"/>
    <sheet name="13-07" sheetId="22" r:id="rId22"/>
    <sheet name="06-07" sheetId="23" r:id="rId23"/>
    <sheet name="29-06" sheetId="24" r:id="rId24"/>
    <sheet name="22-06" sheetId="25" r:id="rId25"/>
    <sheet name="15-06" sheetId="26" r:id="rId26"/>
    <sheet name="10-06b" sheetId="27" r:id="rId27"/>
    <sheet name="10-06a" sheetId="28" r:id="rId28"/>
    <sheet name="08-06" sheetId="29" r:id="rId29"/>
    <sheet name="01-06" sheetId="30" r:id="rId30"/>
    <sheet name="26-05" sheetId="31" r:id="rId31"/>
    <sheet name="18-05" sheetId="32" r:id="rId32"/>
    <sheet name="11-05" sheetId="33" r:id="rId33"/>
    <sheet name="04-05" sheetId="34" r:id="rId34"/>
    <sheet name="27-04" sheetId="35" r:id="rId35"/>
    <sheet name="20-04" sheetId="36" r:id="rId36"/>
    <sheet name="13-04" sheetId="37" r:id="rId37"/>
    <sheet name="06-04" sheetId="38" r:id="rId38"/>
    <sheet name="30-03" sheetId="39" r:id="rId39"/>
    <sheet name="Tourplan m. sløjfer" sheetId="40" r:id="rId40"/>
    <sheet name="Starttider" sheetId="41" r:id="rId41"/>
    <sheet name="Bødekassen" sheetId="42" r:id="rId42"/>
    <sheet name="Vindere" sheetId="43" r:id="rId43"/>
  </sheets>
  <externalReferences>
    <externalReference r:id="rId46"/>
  </externalReferences>
  <definedNames>
    <definedName name="_xlnm._FilterDatabase" localSheetId="41" hidden="1">'Bødekassen'!$B$2:$AF$2</definedName>
    <definedName name="_xlnm._FilterDatabase" localSheetId="2" hidden="1">'Money'!$A$2:$AK$27</definedName>
    <definedName name="_xlnm._FilterDatabase" localSheetId="3" hidden="1">'Point'!$A$2:$AO$2</definedName>
    <definedName name="_xlnm._FilterDatabase" localSheetId="4" hidden="1">'Putts'!$A$2:$AP$2</definedName>
    <definedName name="_xlnm._FilterDatabase" localSheetId="5" hidden="1">'Tæt-flag'!$B$2:$E$3</definedName>
    <definedName name="Excel_BuiltIn__FilterDatabase_1">'Samlet Stilling'!$D$2:$D$29</definedName>
    <definedName name="Excel_BuiltIn__FilterDatabase_10">'[1]THE FINAL'!$A$10:$G$14</definedName>
    <definedName name="Excel_BuiltIn__FilterDatabase_11">'14-09'!$A$10:$H$14</definedName>
    <definedName name="Excel_BuiltIn__FilterDatabase_12">'07-09'!$A$10:$H$14</definedName>
    <definedName name="Excel_BuiltIn__FilterDatabase_13" localSheetId="13">'02-09'!$A$10:$H$14</definedName>
    <definedName name="Excel_BuiltIn__FilterDatabase_13">'03-09'!$A$10:$H$14</definedName>
    <definedName name="Excel_BuiltIn__FilterDatabase_14">#REF!</definedName>
    <definedName name="Excel_BuiltIn__FilterDatabase_15">'31-08'!$A$10:$H$14</definedName>
    <definedName name="Excel_BuiltIn__FilterDatabase_16">'24-08'!$A$10:$H$14</definedName>
    <definedName name="Excel_BuiltIn__FilterDatabase_17">'17-08'!$A$10:$H$14</definedName>
    <definedName name="Excel_BuiltIn__FilterDatabase_18">'10-08'!$A$10:$H$14</definedName>
    <definedName name="Excel_BuiltIn__FilterDatabase_19">'03-08'!$A$10:$H$14</definedName>
    <definedName name="Excel_BuiltIn__FilterDatabase_20">'27-07'!$A$10:$H$14</definedName>
    <definedName name="Excel_BuiltIn__FilterDatabase_21">'13-07'!$A$10:$H$14</definedName>
    <definedName name="Excel_BuiltIn__FilterDatabase_22">'20-07'!$A$10:$H$14</definedName>
    <definedName name="Excel_BuiltIn__FilterDatabase_23">'06-07'!$A$10:$H$14</definedName>
    <definedName name="Excel_BuiltIn__FilterDatabase_24">'22-06'!$A$10:$H$14</definedName>
    <definedName name="Excel_BuiltIn__FilterDatabase_25">'29-06'!$A$10:$H$14</definedName>
    <definedName name="Excel_BuiltIn__FilterDatabase_26">'15-06'!$A$10:$H$14</definedName>
    <definedName name="Excel_BuiltIn__FilterDatabase_27">'08-06'!$A$10:$H$14</definedName>
    <definedName name="Excel_BuiltIn__FilterDatabase_28">'01-06'!$A$10:$H$14</definedName>
    <definedName name="Excel_BuiltIn__FilterDatabase_29">'26-05'!$A$10:$H$14</definedName>
    <definedName name="Excel_BuiltIn__FilterDatabase_3">'Money'!$C$2:$C$22</definedName>
    <definedName name="Excel_BuiltIn__FilterDatabase_30">'10-06b'!$A$10:$H$14</definedName>
    <definedName name="Excel_BuiltIn__FilterDatabase_31">'10-06a'!$A$10:$H$14</definedName>
    <definedName name="Excel_BuiltIn__FilterDatabase_32">'18-05'!$A$10:$H$14</definedName>
    <definedName name="Excel_BuiltIn__FilterDatabase_33">'11-05'!$A$10:$H$14</definedName>
    <definedName name="Excel_BuiltIn__FilterDatabase_34">'04-05'!$A$10:$H$14</definedName>
    <definedName name="Excel_BuiltIn__FilterDatabase_35">'27-04'!$A$10:$H$14</definedName>
    <definedName name="Excel_BuiltIn__FilterDatabase_36">'20-04'!$A$10:$H$14</definedName>
    <definedName name="Excel_BuiltIn__FilterDatabase_37">#REF!</definedName>
    <definedName name="Excel_BuiltIn__FilterDatabase_38">'06-04'!$A$10:$H$14</definedName>
    <definedName name="Excel_BuiltIn__FilterDatabase_39" localSheetId="38">'30-03'!$A$10:$H$14</definedName>
    <definedName name="Excel_BuiltIn__FilterDatabase_39">'13-04'!$A$10:$H$14</definedName>
    <definedName name="Excel_BuiltIn__FilterDatabase_4">'Point'!$C$2:$C$27</definedName>
    <definedName name="Excel_BuiltIn__FilterDatabase_40">#REF!</definedName>
    <definedName name="Excel_BuiltIn__FilterDatabase_41">#REF!</definedName>
    <definedName name="Excel_BuiltIn__FilterDatabase_42">#REF!</definedName>
    <definedName name="Excel_BuiltIn__FilterDatabase_5" localSheetId="41">'Bødekassen'!$B$3:$AF$26</definedName>
    <definedName name="Excel_BuiltIn__FilterDatabase_5">'Putts'!$B$3:$T$27</definedName>
    <definedName name="Excel_BuiltIn__FilterDatabase_6">'Tæt-flag'!$C$2:$C$31</definedName>
    <definedName name="Excel_BuiltIn__FilterDatabase_8" localSheetId="7">'05-10'!$A$10:$H$14</definedName>
    <definedName name="Excel_BuiltIn__FilterDatabase_8" localSheetId="6">'07-10'!$A$10:$H$14</definedName>
    <definedName name="Excel_BuiltIn__FilterDatabase_8">'28-09'!$A$10:$H$14</definedName>
    <definedName name="Excel_BuiltIn__FilterDatabase_9">'21-09'!$A$10:$H$14</definedName>
    <definedName name="_xlnm.Print_Area" localSheetId="29">'01-06'!$A$1:$O$29</definedName>
    <definedName name="_xlnm.Print_Area" localSheetId="13">'02-09'!$A$1:$O$28</definedName>
    <definedName name="_xlnm.Print_Area" localSheetId="18">'03-08'!$A$1:$O$29</definedName>
    <definedName name="_xlnm.Print_Area" localSheetId="12">'03-09'!$A$1:$O$29</definedName>
    <definedName name="_xlnm.Print_Area" localSheetId="33">'04-05'!$A$1:$O$28</definedName>
    <definedName name="_xlnm.Print_Area" localSheetId="37">'06-04'!$A$1:$O$29</definedName>
    <definedName name="_xlnm.Print_Area" localSheetId="22">'06-07'!$A$1:$O$28</definedName>
    <definedName name="_xlnm.Print_Area" localSheetId="11">'07-09'!$A$1:$O$29</definedName>
    <definedName name="_xlnm.Print_Area" localSheetId="28">'08-06'!$A$1:$O$28</definedName>
    <definedName name="_xlnm.Print_Area" localSheetId="27">'10-06a'!$A$1:$O$28</definedName>
    <definedName name="_xlnm.Print_Area" localSheetId="26">'10-06b'!$A$1:$O$28</definedName>
    <definedName name="_xlnm.Print_Area" localSheetId="17">'10-08'!$A$1:$O$29</definedName>
    <definedName name="_xlnm.Print_Area" localSheetId="32">'11-05'!$A$1:$O$29</definedName>
    <definedName name="_xlnm.Print_Area" localSheetId="36">'13-04'!$A$1:$O$28</definedName>
    <definedName name="_xlnm.Print_Area" localSheetId="21">'13-07'!$A$1:$O$29</definedName>
    <definedName name="_xlnm.Print_Area" localSheetId="10">'14-09'!$A$1:$O$28</definedName>
    <definedName name="_xlnm.Print_Area" localSheetId="25">'15-06'!$A$1:$O$29</definedName>
    <definedName name="_xlnm.Print_Area" localSheetId="16">'17-08'!$A$1:$O$28</definedName>
    <definedName name="_xlnm.Print_Area" localSheetId="31">'18-05'!$A$1:$O$29</definedName>
    <definedName name="_xlnm.Print_Area" localSheetId="35">'20-04'!$A$1:$O$29</definedName>
    <definedName name="_xlnm.Print_Area" localSheetId="20">'20-07'!$A$1:$O$29</definedName>
    <definedName name="_xlnm.Print_Area" localSheetId="24">'22-06'!$A$1:$N$29</definedName>
    <definedName name="_xlnm.Print_Area" localSheetId="15">'24-08'!$A$1:$O$29</definedName>
    <definedName name="_xlnm.Print_Area" localSheetId="30">'26-05'!$A$1:$O$29</definedName>
    <definedName name="_xlnm.Print_Area" localSheetId="34">'27-04'!$A$1:$O$29</definedName>
    <definedName name="_xlnm.Print_Area" localSheetId="19">'27-07'!$A$1:$O$29</definedName>
    <definedName name="_xlnm.Print_Area" localSheetId="23">'29-06'!$A$1:$O$28</definedName>
    <definedName name="_xlnm.Print_Area" localSheetId="38">'30-03'!$A$1:$O$29</definedName>
    <definedName name="_xlnm.Print_Area" localSheetId="14">'31-08'!$A$1:$O$29</definedName>
    <definedName name="_xlnm.Print_Area" localSheetId="41">'Bødekassen'!$A$1:$AF$28</definedName>
    <definedName name="_xlnm.Print_Area" localSheetId="2">'Money'!$B$1:$AK$29</definedName>
    <definedName name="_xlnm.Print_Area" localSheetId="3">'Point'!$B$1:$AM$30</definedName>
    <definedName name="_xlnm.Print_Area" localSheetId="4">'Putts'!$A$1:$V$32</definedName>
    <definedName name="_xlnm.Print_Area" localSheetId="5">'Tæt-flag'!$B$1:$I$27</definedName>
  </definedNames>
  <calcPr fullCalcOnLoad="1"/>
</workbook>
</file>

<file path=xl/sharedStrings.xml><?xml version="1.0" encoding="utf-8"?>
<sst xmlns="http://schemas.openxmlformats.org/spreadsheetml/2006/main" count="1918" uniqueCount="300">
  <si>
    <t>POINT</t>
  </si>
  <si>
    <t>MONEY</t>
  </si>
  <si>
    <t>PUTS</t>
  </si>
  <si>
    <t>NÆRMEST FLAGET</t>
  </si>
  <si>
    <t>LÆNGSTE DRIVE</t>
  </si>
  <si>
    <t>Inngolf Banerekorder:</t>
  </si>
  <si>
    <t>Fornavn</t>
  </si>
  <si>
    <t>Handicap</t>
  </si>
  <si>
    <t>Bo Hansen</t>
  </si>
  <si>
    <t>Bo H</t>
  </si>
  <si>
    <t>Børge Heiberg</t>
  </si>
  <si>
    <t>Børge H</t>
  </si>
  <si>
    <t>Carsten Dahl</t>
  </si>
  <si>
    <t>Carsten D</t>
  </si>
  <si>
    <t>Carsten Lund</t>
  </si>
  <si>
    <t>Carsten L</t>
  </si>
  <si>
    <t>Claus Jessen</t>
  </si>
  <si>
    <t>Claus J</t>
  </si>
  <si>
    <t>Erik M. Pedersen</t>
  </si>
  <si>
    <t>Erik P</t>
  </si>
  <si>
    <t>Finn E. Christensen</t>
  </si>
  <si>
    <t>Finn EC</t>
  </si>
  <si>
    <t>Hans Martin Vestergaard</t>
  </si>
  <si>
    <t>Hans MV</t>
  </si>
  <si>
    <t>Henning B. Nielsen</t>
  </si>
  <si>
    <t>Henning B</t>
  </si>
  <si>
    <t>Henning Vestergaard</t>
  </si>
  <si>
    <t>Henning V</t>
  </si>
  <si>
    <t>Jakob Kristensen</t>
  </si>
  <si>
    <t>Jakob K</t>
  </si>
  <si>
    <t>Jan Hegner</t>
  </si>
  <si>
    <t>Jan H</t>
  </si>
  <si>
    <t>Jens Laigaard</t>
  </si>
  <si>
    <t>Jens L</t>
  </si>
  <si>
    <t>Jesper Vohs Nielsen</t>
  </si>
  <si>
    <t>Jesper VN</t>
  </si>
  <si>
    <t>John Sørensen</t>
  </si>
  <si>
    <t>John S</t>
  </si>
  <si>
    <t>Karsten Valeur</t>
  </si>
  <si>
    <t>Karsten V</t>
  </si>
  <si>
    <t>Martin Andersen</t>
  </si>
  <si>
    <t>Martin A</t>
  </si>
  <si>
    <t>Morten Clausen</t>
  </si>
  <si>
    <t>Morten C</t>
  </si>
  <si>
    <t>Ole Malmskov</t>
  </si>
  <si>
    <t>Ole M</t>
  </si>
  <si>
    <t>Per Nørsten</t>
  </si>
  <si>
    <t>Per N</t>
  </si>
  <si>
    <t>Robin Thybo</t>
  </si>
  <si>
    <t>Robin T</t>
  </si>
  <si>
    <t>Thorkild Jensen</t>
  </si>
  <si>
    <t>Thorkild J</t>
  </si>
  <si>
    <t>Torben Jacobsen</t>
  </si>
  <si>
    <t>Torben J</t>
  </si>
  <si>
    <t>Money List</t>
  </si>
  <si>
    <t>Samlet</t>
  </si>
  <si>
    <t xml:space="preserve">Runder spillet                     </t>
  </si>
  <si>
    <t>Kontrol:</t>
  </si>
  <si>
    <t xml:space="preserve"> Inngolf Ranking</t>
  </si>
  <si>
    <t>Tællende</t>
  </si>
  <si>
    <t>Min. tællende</t>
  </si>
  <si>
    <t>1. pladser</t>
  </si>
  <si>
    <t xml:space="preserve">    Puts</t>
  </si>
  <si>
    <t>Gen.snit</t>
  </si>
  <si>
    <t>Putte-rund.</t>
  </si>
  <si>
    <t>Med 37 puts</t>
  </si>
  <si>
    <t>Runder tæller</t>
  </si>
  <si>
    <t>Når der spilles mindre end 18 huller, udregnes put antal ud fra gennemsnittet af de spillede huller</t>
  </si>
  <si>
    <t>De dårligste streges (markeret med rød tekst hvis man har spillet over 18 runder.</t>
  </si>
  <si>
    <t>Manglende runder op til 18 udregnet efter 37 puts!</t>
  </si>
  <si>
    <t xml:space="preserve">                Tættest Flaget</t>
  </si>
  <si>
    <t>Længste Drive</t>
  </si>
  <si>
    <t>Afstand i m</t>
  </si>
  <si>
    <t>Hul</t>
  </si>
  <si>
    <t>Dato</t>
  </si>
  <si>
    <t>Bane</t>
  </si>
  <si>
    <t>18 huller</t>
  </si>
  <si>
    <t>Spiller</t>
  </si>
  <si>
    <t>HCP</t>
  </si>
  <si>
    <t>Slag / point</t>
  </si>
  <si>
    <t>Puts</t>
  </si>
  <si>
    <t>Tættest Flaget</t>
  </si>
  <si>
    <t>Placering</t>
  </si>
  <si>
    <t>Point</t>
  </si>
  <si>
    <t>Sign on fee          + $-præmie</t>
  </si>
  <si>
    <t>$</t>
  </si>
  <si>
    <t>1 (25%)</t>
  </si>
  <si>
    <t>2 (20%)</t>
  </si>
  <si>
    <t>3 (15%)</t>
  </si>
  <si>
    <t>4 (12%)</t>
  </si>
  <si>
    <t>5 (10%)</t>
  </si>
  <si>
    <t>6 (8%)</t>
  </si>
  <si>
    <t>7 (6%)</t>
  </si>
  <si>
    <t>8 (4%)</t>
  </si>
  <si>
    <t>Præmiesum i $:</t>
  </si>
  <si>
    <t>Tæt. Flag ($= 7. pl)</t>
  </si>
  <si>
    <t>Puts er omregnet til 18 huller</t>
  </si>
  <si>
    <t>Antal huller
spillet</t>
  </si>
  <si>
    <t>Omregnet
til</t>
  </si>
  <si>
    <t>-</t>
  </si>
  <si>
    <t>Makker</t>
  </si>
  <si>
    <t>Money</t>
  </si>
  <si>
    <t>2 x</t>
  </si>
  <si>
    <t>Hold</t>
  </si>
  <si>
    <t>4x</t>
  </si>
  <si>
    <t>Slag</t>
  </si>
  <si>
    <t>Putts</t>
  </si>
  <si>
    <t>US Open</t>
  </si>
  <si>
    <t>FedEx St. Jude Classic</t>
  </si>
  <si>
    <t>The Players Championship</t>
  </si>
  <si>
    <t>Wells Fargo Championship</t>
  </si>
  <si>
    <t>Zürich Classic of New Orleans</t>
  </si>
  <si>
    <t>Valero Texas Open</t>
  </si>
  <si>
    <t>Shell Houston Open</t>
  </si>
  <si>
    <t>Preseason</t>
  </si>
  <si>
    <t>Start</t>
  </si>
  <si>
    <t>Præmie</t>
  </si>
  <si>
    <t>Match</t>
  </si>
  <si>
    <t>Bemærk</t>
  </si>
  <si>
    <t>Stableford</t>
  </si>
  <si>
    <t>Warm-Up</t>
  </si>
  <si>
    <t>Regular Season</t>
  </si>
  <si>
    <t>Ikke 18 huller</t>
  </si>
  <si>
    <t>MASTERS TOURNAMENT</t>
  </si>
  <si>
    <t>Slagspil</t>
  </si>
  <si>
    <t>2x5.000.000</t>
  </si>
  <si>
    <t>Matchkomite</t>
  </si>
  <si>
    <t>International Tours</t>
  </si>
  <si>
    <t>Udenlands turnering</t>
  </si>
  <si>
    <t>Starttid</t>
  </si>
  <si>
    <t>Vinder</t>
  </si>
  <si>
    <t>P</t>
  </si>
  <si>
    <t>Tættest flaget</t>
  </si>
  <si>
    <t>Sløjfe</t>
  </si>
  <si>
    <t>Vinterbane</t>
  </si>
  <si>
    <t>Største</t>
  </si>
  <si>
    <t>Valspar Championship</t>
  </si>
  <si>
    <t>m</t>
  </si>
  <si>
    <t>Antal deltagere</t>
  </si>
  <si>
    <t>DGU-nr</t>
  </si>
  <si>
    <t>the Memorial Tournament</t>
  </si>
  <si>
    <t>Wyndham Championship</t>
  </si>
  <si>
    <t>InnGolf Captains Cup</t>
  </si>
  <si>
    <t>AT&amp;T Byron Nelson Championship</t>
  </si>
  <si>
    <t>Bøder</t>
  </si>
  <si>
    <t>Bøder kr.</t>
  </si>
  <si>
    <t>De 18 bedste resultater tæller, resten udgår (felter markeret med rød tekst)</t>
  </si>
  <si>
    <t>Skoven-Sletten: Dan 75 slag 24/3-05      Sletten-Ådalen: Stig 74 slag 21/7-05      Ådalen-Skoven: Dan 78 slag 28/7-05     Udenbys: Robin 73 slag 29/8-15</t>
  </si>
  <si>
    <t>Steen Nybo</t>
  </si>
  <si>
    <t>Steen N</t>
  </si>
  <si>
    <t xml:space="preserve">The Greenbrier Classic </t>
  </si>
  <si>
    <t>Made in Denmark</t>
  </si>
  <si>
    <t>??</t>
  </si>
  <si>
    <t>Matchform</t>
  </si>
  <si>
    <t>*Holdspil</t>
  </si>
  <si>
    <t>Udenbystur</t>
  </si>
  <si>
    <t>Superrunde/spisning</t>
  </si>
  <si>
    <t>NR</t>
  </si>
  <si>
    <t>Skoven-Sletten: Henning V. 13 points 5/7-12 (hvid tee)      Sletten-Ådalen: Henning BN 13 points 9/4-15 &amp; Martin A 13 point 7/4-16      Ådalen-Skoven: Torben C. 11 points 29/4-10</t>
  </si>
  <si>
    <t>* Tee 52</t>
  </si>
  <si>
    <t>* Tee 46</t>
  </si>
  <si>
    <t>DEAN &amp; DELUCA Invitational</t>
  </si>
  <si>
    <t>LD</t>
  </si>
  <si>
    <t>2x</t>
  </si>
  <si>
    <t>41</t>
  </si>
  <si>
    <t>Pedro I</t>
  </si>
  <si>
    <t>Kristian Dam</t>
  </si>
  <si>
    <t>Pedro II</t>
  </si>
  <si>
    <t>Tour Championship</t>
  </si>
  <si>
    <t>The InnGolf Final 2017</t>
  </si>
  <si>
    <t>Inngolf PGA Tour 2017 - Lørdag den 10/10 - 27 huller stableford Ådalen-Skoven-Sletten</t>
  </si>
  <si>
    <t>Inngolf PGA Tour 2017 - Torsdag den 26/5 - 18 huller Slagspil - Ådalen/Skoven</t>
  </si>
  <si>
    <t>InnGolf Tourplan 2017</t>
  </si>
  <si>
    <t>InnGolf Tourvinder 2017</t>
  </si>
  <si>
    <t xml:space="preserve">RBC Heritage </t>
  </si>
  <si>
    <t xml:space="preserve">Valero Texas Open </t>
  </si>
  <si>
    <t xml:space="preserve">Zurich Classic of New Orleans </t>
  </si>
  <si>
    <t xml:space="preserve">Wells Fargo Championship </t>
  </si>
  <si>
    <t xml:space="preserve">THE PLAYERS Championship </t>
  </si>
  <si>
    <t xml:space="preserve">AT&amp;T Byron Nelson </t>
  </si>
  <si>
    <t xml:space="preserve">DEAN &amp; DELUCA Invitational </t>
  </si>
  <si>
    <t xml:space="preserve">the Memorial Tournament presented by Nationwide </t>
  </si>
  <si>
    <t xml:space="preserve">FedEx St. Jude Classic </t>
  </si>
  <si>
    <t xml:space="preserve">Travelers Championship </t>
  </si>
  <si>
    <t xml:space="preserve">Quicken Loans National </t>
  </si>
  <si>
    <t xml:space="preserve">John Deere Classic </t>
  </si>
  <si>
    <t xml:space="preserve">RBC Canadian Open </t>
  </si>
  <si>
    <t xml:space="preserve">Wyndham Championship </t>
  </si>
  <si>
    <t xml:space="preserve">Dell Technologies Championship </t>
  </si>
  <si>
    <t xml:space="preserve">BMW Championship </t>
  </si>
  <si>
    <t xml:space="preserve">TOUR Championship </t>
  </si>
  <si>
    <t>The Presidents Cup</t>
  </si>
  <si>
    <t>Arnold Palmer Invitational presented by Mastercard</t>
  </si>
  <si>
    <t>TBA</t>
  </si>
  <si>
    <t>Udenbystur II</t>
  </si>
  <si>
    <t>Inngolf Memorial</t>
  </si>
  <si>
    <t xml:space="preserve">WGC - Bridgestone Invitational </t>
  </si>
  <si>
    <t xml:space="preserve">WGC - Dell Technologies Match Play </t>
  </si>
  <si>
    <t>InnGolf ??? Invitational</t>
  </si>
  <si>
    <t>15. sæson - i alt 31 tællende turneringer</t>
  </si>
  <si>
    <t>Kristian D</t>
  </si>
  <si>
    <t>SS</t>
  </si>
  <si>
    <t>SÅ</t>
  </si>
  <si>
    <t>ÅS</t>
  </si>
  <si>
    <t>Tee 52</t>
  </si>
  <si>
    <t>Tee 46</t>
  </si>
  <si>
    <t>Holdmatch</t>
  </si>
  <si>
    <t>U.S. OPEN</t>
  </si>
  <si>
    <t>THE OPEN</t>
  </si>
  <si>
    <t xml:space="preserve">PGA CHAMPIONSHIP </t>
  </si>
  <si>
    <t>10/06a</t>
  </si>
  <si>
    <t>10/06b</t>
  </si>
  <si>
    <t>Skoven 5</t>
  </si>
  <si>
    <t>Inngolf PGA Tour 2017 - Torsdag den 30. marts - 18 huller Stableford -  Skoven/Sletten (Vinterbane)</t>
  </si>
  <si>
    <t>Sletten 6</t>
  </si>
  <si>
    <t>Ådalen 8</t>
  </si>
  <si>
    <t>Sletten 9</t>
  </si>
  <si>
    <t>Ådalen 2</t>
  </si>
  <si>
    <t>Inngolf PGA Tour 2017 - Torsdag den 13. april - 18 huller Stableford -  Skoven/Sletten</t>
  </si>
  <si>
    <t>Inngolf PGA Tour 2017 - Torsdag den 6. april - 18 huller Stableford - Sletten/Ådalen</t>
  </si>
  <si>
    <t>Inngolf PGA Tour 2017 - Torsdag den 20/4 - 18 huller Stableford - Skoven/Sletten</t>
  </si>
  <si>
    <t>Inngolf PGA Tour 2017 - Torsdag den 27/4 - 18 huller Stableford - Sletten/Ådalen</t>
  </si>
  <si>
    <t>RTD</t>
  </si>
  <si>
    <t>Inngolf PGA Tour 2017 - Torsdag den 4/5 - 18 huller slagspil - Ådalen/Skoven</t>
  </si>
  <si>
    <t>Skoven 8</t>
  </si>
  <si>
    <t>Ådalen 4</t>
  </si>
  <si>
    <t>Inngolf PGA Tour 2017 - Torsdag den 11/5 - 18 huller Slagspil - Skoven/Sletten, tee 52</t>
  </si>
  <si>
    <t>Inngolf PGA Tour 2017 - Torsdag den 18/5 - 18 huller Stableford - Sletten/Ådalen</t>
  </si>
  <si>
    <t>Fanø Links Championship</t>
  </si>
  <si>
    <t>Inngolf PGA Tour 2017 - Torsdag den 1/6 - 18 huller Stableford - Skoven/Sletten</t>
  </si>
  <si>
    <t>Henning BN</t>
  </si>
  <si>
    <t>Inngolf PGA Tour 2017 - Torsdag den 8/6 - 18 huller Stableford - Sletten/Ådalen</t>
  </si>
  <si>
    <t>Fanø Links Individual Championship</t>
  </si>
  <si>
    <t>Inngolf PGA Tour 2017 - Lørdag den 10/6 eftermiddag - 18 huller Stableford - Fanø Golf Links</t>
  </si>
  <si>
    <t>Inngolf PGA Tour 2017 - Lørdag den 28/5 formiddag - 18 huller Texas Scramble - Fanø Golf Links</t>
  </si>
  <si>
    <t>Fanø Links Invitational</t>
  </si>
  <si>
    <t>2xTH</t>
  </si>
  <si>
    <t>Fanø GL</t>
  </si>
  <si>
    <t>Fanø 6</t>
  </si>
  <si>
    <t>Fanø 16</t>
  </si>
  <si>
    <t>Fanø 5</t>
  </si>
  <si>
    <t>Fanø 2</t>
  </si>
  <si>
    <t>10/6b</t>
  </si>
  <si>
    <t>Inngolf PGA Tour 2017 - Torsdag den 15/6 - 18 huller slagspil, Ådalen/Skoven</t>
  </si>
  <si>
    <t>Inngolf PGA Tour 2017 - Torsdag den 22/6 - 18 huller stableford - Skoven/Sletten</t>
  </si>
  <si>
    <t>Travelers Championship</t>
  </si>
  <si>
    <t>Inngolf PGA Tour 2017 - Torsdag den 29/6 - 18 huller Stableford - Sletten/Ådalen</t>
  </si>
  <si>
    <t>Inngolf PGA Tour 2017 - Torsdag den 6/7 - 18 huller stableford - Ådalen/Skoven</t>
  </si>
  <si>
    <t>The Greenbrier Classic</t>
  </si>
  <si>
    <t>Inngolf PGA Tour 2017 - Torsdag den 20/7 - 18 huller Slagspil - Sletten/Ådalen</t>
  </si>
  <si>
    <t>John Deere Classic</t>
  </si>
  <si>
    <t>Inngolf PGA Tour 2017 - Torsdag den 13/7 - 18 huller Stableford, Skoven/Sletten</t>
  </si>
  <si>
    <t>Hans Martin</t>
  </si>
  <si>
    <t>The Open</t>
  </si>
  <si>
    <t xml:space="preserve">INNGOLF RANGLISTEN 2017 </t>
  </si>
  <si>
    <t>Inngolf PGA Tour 2017 - Torsdag den 27/7 - 18 huller Stableford Ådalen/Skoven</t>
  </si>
  <si>
    <t>WGC Bridgestone Invitational</t>
  </si>
  <si>
    <t>Inngolf PGA Tour 2017 - Torsdag den 3/8 - 18 huller Stableford - Skoven/Sletten</t>
  </si>
  <si>
    <t>Sletten 4</t>
  </si>
  <si>
    <t>PGA Championship</t>
  </si>
  <si>
    <t>Inngolf PGA Tour 2017 - Torsdag den 10/8 - 18 huller slagspil - Sletten / Ådalen</t>
  </si>
  <si>
    <t>39</t>
  </si>
  <si>
    <t>Inngolf PGA Tour 2017 - Torsdag den 17/8 - 18 huller Stableford - Ådalen/Skoven</t>
  </si>
  <si>
    <t>40</t>
  </si>
  <si>
    <t>Inngolf PGA Tour 2017 - Torsdag den 24/8 - 18 huller Stableford - Skoven/Sletten</t>
  </si>
  <si>
    <t>36</t>
  </si>
  <si>
    <t>42</t>
  </si>
  <si>
    <t>Superrunde/fest</t>
  </si>
  <si>
    <t>Dell Technologies Championship</t>
  </si>
  <si>
    <t>Inngolf PGA Tour 2017 - Torsdag den 31/8 - 18 huller Stableford Sletten/Ådalen</t>
  </si>
  <si>
    <t>35</t>
  </si>
  <si>
    <t>37</t>
  </si>
  <si>
    <t>38</t>
  </si>
  <si>
    <t>1</t>
  </si>
  <si>
    <t>Seeschlösschen Open</t>
  </si>
  <si>
    <t>L.D.</t>
  </si>
  <si>
    <t>Tyskland</t>
  </si>
  <si>
    <t>Seeschlösschen Fall</t>
  </si>
  <si>
    <t>34</t>
  </si>
  <si>
    <t>2</t>
  </si>
  <si>
    <t>Inngolf PGA Tour 2017 - Lørdag den 2/9 - 18 huller Stableford, Golfplatz Seeschlöschen - Nordplatz</t>
  </si>
  <si>
    <t>Inngolf PGA Tour 2017 - Søndag den 3/9 - 18 huller Stableford, Golfplatz Seeschlöschen - Südplatz</t>
  </si>
  <si>
    <t>Inngolf PGA Tour 2017 - Torsdag den 7/9 - 18 huller Stableford Ådalen/Skoven</t>
  </si>
  <si>
    <t xml:space="preserve">Børge </t>
  </si>
  <si>
    <t>BMW Championship</t>
  </si>
  <si>
    <t>Inngolf PGA Tour 2017 - Torsdag den 14/9 - 18 huller holdspil Skoven/Sletten</t>
  </si>
  <si>
    <t>3x</t>
  </si>
  <si>
    <t>3</t>
  </si>
  <si>
    <t>Inngolf PGA Tour 2017 - Torsdag den 21/9 - 16 huller stableford Sletten-Ådalen</t>
  </si>
  <si>
    <t>44</t>
  </si>
  <si>
    <t>Presidents Cup</t>
  </si>
  <si>
    <t>Inngolf PGA Tour 2017 - Torsdag den 28/9 - 14 huller stableford Ådalen-Skoven</t>
  </si>
  <si>
    <t>33</t>
  </si>
  <si>
    <t>Børge, Ole, Morten</t>
  </si>
  <si>
    <t>Inngolf PGA Tour 2017 - Torsdag den 5/10 - 11 huller stableford Skoven-Sletten</t>
  </si>
  <si>
    <t>4</t>
  </si>
  <si>
    <t>43</t>
  </si>
  <si>
    <t>Finale</t>
  </si>
  <si>
    <t>TFx2</t>
  </si>
  <si>
    <t>32</t>
  </si>
</sst>
</file>

<file path=xl/styles.xml><?xml version="1.0" encoding="utf-8"?>
<styleSheet xmlns="http://schemas.openxmlformats.org/spreadsheetml/2006/main">
  <numFmts count="23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dd/mm"/>
    <numFmt numFmtId="174" formatCode="mmm/yyyy"/>
    <numFmt numFmtId="175" formatCode="[$-406]dddd\ &quot;den&quot;\ d\.\ mmmm\ yyyy"/>
    <numFmt numFmtId="176" formatCode="dd\-mm"/>
    <numFmt numFmtId="177" formatCode="hh\.mm\.ss"/>
    <numFmt numFmtId="178" formatCode="hh:mm;@"/>
  </numFmts>
  <fonts count="86">
    <font>
      <sz val="10"/>
      <name val="Arial"/>
      <family val="0"/>
    </font>
    <font>
      <sz val="12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b/>
      <u val="single"/>
      <sz val="11"/>
      <name val="Arial"/>
      <family val="2"/>
    </font>
    <font>
      <b/>
      <sz val="11"/>
      <name val="Arial"/>
      <family val="2"/>
    </font>
    <font>
      <sz val="10"/>
      <color indexed="55"/>
      <name val="Arial"/>
      <family val="2"/>
    </font>
    <font>
      <sz val="12"/>
      <color indexed="55"/>
      <name val="Arial"/>
      <family val="2"/>
    </font>
    <font>
      <sz val="12"/>
      <color indexed="9"/>
      <name val="Arial"/>
      <family val="2"/>
    </font>
    <font>
      <sz val="10"/>
      <color indexed="22"/>
      <name val="Arial"/>
      <family val="2"/>
    </font>
    <font>
      <sz val="10"/>
      <color indexed="8"/>
      <name val="Arial"/>
      <family val="2"/>
    </font>
    <font>
      <b/>
      <sz val="16"/>
      <color indexed="22"/>
      <name val="Arial"/>
      <family val="2"/>
    </font>
    <font>
      <b/>
      <sz val="16"/>
      <color indexed="8"/>
      <name val="Arial"/>
      <family val="2"/>
    </font>
    <font>
      <sz val="12"/>
      <color indexed="22"/>
      <name val="Arial"/>
      <family val="2"/>
    </font>
    <font>
      <sz val="12"/>
      <color indexed="8"/>
      <name val="Arial"/>
      <family val="2"/>
    </font>
    <font>
      <sz val="9"/>
      <color indexed="22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0"/>
    </font>
    <font>
      <b/>
      <sz val="12"/>
      <color indexed="10"/>
      <name val="Arial"/>
      <family val="2"/>
    </font>
    <font>
      <sz val="8"/>
      <color indexed="55"/>
      <name val="Arial"/>
      <family val="2"/>
    </font>
    <font>
      <sz val="8"/>
      <name val="Verdana"/>
      <family val="2"/>
    </font>
    <font>
      <sz val="14"/>
      <name val="Arial"/>
      <family val="2"/>
    </font>
    <font>
      <b/>
      <sz val="26"/>
      <name val="Arial"/>
      <family val="2"/>
    </font>
    <font>
      <sz val="11"/>
      <color indexed="9"/>
      <name val="Arial"/>
      <family val="2"/>
    </font>
    <font>
      <sz val="11"/>
      <color indexed="55"/>
      <name val="Arial"/>
      <family val="2"/>
    </font>
    <font>
      <sz val="11"/>
      <color indexed="22"/>
      <name val="Arial"/>
      <family val="2"/>
    </font>
    <font>
      <b/>
      <sz val="22"/>
      <color indexed="62"/>
      <name val="Calibri"/>
      <family val="2"/>
    </font>
    <font>
      <b/>
      <sz val="12"/>
      <color indexed="8"/>
      <name val="Calibri"/>
      <family val="2"/>
    </font>
    <font>
      <sz val="8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0"/>
      <name val="Arial"/>
      <family val="2"/>
    </font>
    <font>
      <sz val="11"/>
      <name val="VU Arial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u val="single"/>
      <sz val="10"/>
      <color indexed="12"/>
      <name val="Arial"/>
      <family val="2"/>
    </font>
    <font>
      <sz val="12"/>
      <color indexed="62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b/>
      <sz val="18"/>
      <color indexed="56"/>
      <name val="Cambria"/>
      <family val="2"/>
    </font>
    <font>
      <sz val="12"/>
      <color indexed="14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i/>
      <sz val="12"/>
      <color indexed="8"/>
      <name val="Calibri"/>
      <family val="2"/>
    </font>
    <font>
      <i/>
      <sz val="12"/>
      <name val="Calibri"/>
      <family val="2"/>
    </font>
    <font>
      <i/>
      <sz val="12"/>
      <color indexed="9"/>
      <name val="Calibri"/>
      <family val="2"/>
    </font>
    <font>
      <i/>
      <sz val="12"/>
      <color indexed="50"/>
      <name val="Calibri"/>
      <family val="2"/>
    </font>
    <font>
      <i/>
      <sz val="12"/>
      <color indexed="10"/>
      <name val="Calibri"/>
      <family val="2"/>
    </font>
    <font>
      <sz val="10"/>
      <color indexed="10"/>
      <name val="Arial"/>
      <family val="2"/>
    </font>
    <font>
      <b/>
      <sz val="22"/>
      <color indexed="17"/>
      <name val="Calibri"/>
      <family val="2"/>
    </font>
    <font>
      <u val="single"/>
      <sz val="10"/>
      <color indexed="2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1"/>
      <color theme="0" tint="-0.3499799966812134"/>
      <name val="Arial"/>
      <family val="2"/>
    </font>
    <font>
      <i/>
      <sz val="12"/>
      <color theme="0"/>
      <name val="Calibri"/>
      <family val="2"/>
    </font>
    <font>
      <i/>
      <sz val="12"/>
      <color rgb="FF92D050"/>
      <name val="Calibri"/>
      <family val="2"/>
    </font>
    <font>
      <i/>
      <sz val="12"/>
      <color rgb="FFFF0000"/>
      <name val="Calibri"/>
      <family val="2"/>
    </font>
    <font>
      <sz val="10"/>
      <color rgb="FFFF0000"/>
      <name val="Arial"/>
      <family val="2"/>
    </font>
    <font>
      <b/>
      <sz val="22"/>
      <color rgb="FF008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8000"/>
        <bgColor indexed="64"/>
      </patternFill>
    </fill>
  </fills>
  <borders count="6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65" fillId="21" borderId="2" applyNumberFormat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0" borderId="3" applyNumberFormat="0" applyAlignment="0" applyProtection="0"/>
    <xf numFmtId="0" fontId="71" fillId="31" borderId="0" applyNumberFormat="0" applyBorder="0" applyAlignment="0" applyProtection="0"/>
    <xf numFmtId="0" fontId="0" fillId="0" borderId="0">
      <alignment/>
      <protection/>
    </xf>
    <xf numFmtId="0" fontId="72" fillId="21" borderId="4" applyNumberFormat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 indent="1"/>
    </xf>
    <xf numFmtId="172" fontId="9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/>
      <protection locked="0"/>
    </xf>
    <xf numFmtId="3" fontId="4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textRotation="90"/>
      <protection locked="0"/>
    </xf>
    <xf numFmtId="49" fontId="4" fillId="0" borderId="0" xfId="0" applyNumberFormat="1" applyFont="1" applyBorder="1" applyAlignment="1" applyProtection="1">
      <alignment textRotation="90"/>
      <protection/>
    </xf>
    <xf numFmtId="49" fontId="4" fillId="33" borderId="10" xfId="0" applyNumberFormat="1" applyFont="1" applyFill="1" applyBorder="1" applyAlignment="1" applyProtection="1">
      <alignment horizontal="center" textRotation="90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49" fontId="4" fillId="33" borderId="11" xfId="0" applyNumberFormat="1" applyFont="1" applyFill="1" applyBorder="1" applyAlignment="1" applyProtection="1">
      <alignment horizontal="center" textRotation="90"/>
      <protection locked="0"/>
    </xf>
    <xf numFmtId="49" fontId="13" fillId="33" borderId="11" xfId="0" applyNumberFormat="1" applyFont="1" applyFill="1" applyBorder="1" applyAlignment="1" applyProtection="1">
      <alignment horizontal="center" textRotation="90"/>
      <protection/>
    </xf>
    <xf numFmtId="49" fontId="4" fillId="0" borderId="0" xfId="0" applyNumberFormat="1" applyFont="1" applyBorder="1" applyAlignment="1" applyProtection="1">
      <alignment textRotation="90"/>
      <protection locked="0"/>
    </xf>
    <xf numFmtId="0" fontId="4" fillId="0" borderId="0" xfId="0" applyFont="1" applyBorder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3" fontId="21" fillId="0" borderId="0" xfId="0" applyNumberFormat="1" applyFont="1" applyAlignment="1" applyProtection="1">
      <alignment horizontal="left"/>
      <protection locked="0"/>
    </xf>
    <xf numFmtId="2" fontId="4" fillId="0" borderId="0" xfId="0" applyNumberFormat="1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2" fontId="4" fillId="33" borderId="10" xfId="0" applyNumberFormat="1" applyFont="1" applyFill="1" applyBorder="1" applyAlignment="1" applyProtection="1">
      <alignment horizontal="center" textRotation="90"/>
      <protection locked="0"/>
    </xf>
    <xf numFmtId="49" fontId="21" fillId="0" borderId="0" xfId="0" applyNumberFormat="1" applyFont="1" applyAlignment="1" applyProtection="1">
      <alignment textRotation="90"/>
      <protection locked="0"/>
    </xf>
    <xf numFmtId="1" fontId="0" fillId="0" borderId="10" xfId="0" applyNumberFormat="1" applyFont="1" applyBorder="1" applyAlignment="1" applyProtection="1">
      <alignment/>
      <protection locked="0"/>
    </xf>
    <xf numFmtId="1" fontId="9" fillId="0" borderId="10" xfId="0" applyNumberFormat="1" applyFont="1" applyBorder="1" applyAlignment="1" applyProtection="1">
      <alignment/>
      <protection locked="0"/>
    </xf>
    <xf numFmtId="1" fontId="22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1" fontId="4" fillId="0" borderId="0" xfId="0" applyNumberFormat="1" applyFont="1" applyBorder="1" applyAlignment="1" applyProtection="1">
      <alignment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16" fontId="4" fillId="0" borderId="0" xfId="0" applyNumberFormat="1" applyFont="1" applyBorder="1" applyAlignment="1" applyProtection="1">
      <alignment horizontal="center"/>
      <protection locked="0"/>
    </xf>
    <xf numFmtId="2" fontId="4" fillId="33" borderId="11" xfId="0" applyNumberFormat="1" applyFont="1" applyFill="1" applyBorder="1" applyAlignment="1" applyProtection="1">
      <alignment horizontal="center" textRotation="90"/>
      <protection locked="0"/>
    </xf>
    <xf numFmtId="49" fontId="4" fillId="0" borderId="0" xfId="0" applyNumberFormat="1" applyFont="1" applyBorder="1" applyAlignment="1" applyProtection="1">
      <alignment horizontal="center" textRotation="90"/>
      <protection locked="0"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1" fontId="24" fillId="0" borderId="0" xfId="0" applyNumberFormat="1" applyFont="1" applyAlignment="1">
      <alignment horizontal="center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0" fillId="34" borderId="10" xfId="0" applyFont="1" applyFill="1" applyBorder="1" applyAlignment="1">
      <alignment horizontal="left" wrapText="1"/>
    </xf>
    <xf numFmtId="0" fontId="20" fillId="34" borderId="10" xfId="0" applyFont="1" applyFill="1" applyBorder="1" applyAlignment="1">
      <alignment horizontal="center" wrapText="1"/>
    </xf>
    <xf numFmtId="0" fontId="20" fillId="34" borderId="12" xfId="0" applyFont="1" applyFill="1" applyBorder="1" applyAlignment="1">
      <alignment horizontal="center" wrapText="1"/>
    </xf>
    <xf numFmtId="0" fontId="20" fillId="34" borderId="13" xfId="0" applyFont="1" applyFill="1" applyBorder="1" applyAlignment="1">
      <alignment horizontal="center" wrapText="1"/>
    </xf>
    <xf numFmtId="0" fontId="20" fillId="34" borderId="14" xfId="0" applyFont="1" applyFill="1" applyBorder="1" applyAlignment="1">
      <alignment horizontal="center" wrapText="1"/>
    </xf>
    <xf numFmtId="0" fontId="20" fillId="34" borderId="15" xfId="0" applyFont="1" applyFill="1" applyBorder="1" applyAlignment="1">
      <alignment wrapText="1"/>
    </xf>
    <xf numFmtId="1" fontId="26" fillId="34" borderId="15" xfId="0" applyNumberFormat="1" applyFont="1" applyFill="1" applyBorder="1" applyAlignment="1">
      <alignment horizontal="left" vertical="center"/>
    </xf>
    <xf numFmtId="1" fontId="26" fillId="34" borderId="16" xfId="0" applyNumberFormat="1" applyFont="1" applyFill="1" applyBorder="1" applyAlignment="1">
      <alignment horizontal="center" vertical="center"/>
    </xf>
    <xf numFmtId="1" fontId="26" fillId="34" borderId="14" xfId="0" applyNumberFormat="1" applyFont="1" applyFill="1" applyBorder="1" applyAlignment="1">
      <alignment horizontal="center" vertical="center"/>
    </xf>
    <xf numFmtId="0" fontId="26" fillId="34" borderId="14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" fontId="4" fillId="0" borderId="0" xfId="0" applyNumberFormat="1" applyFont="1" applyFill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1" fontId="26" fillId="0" borderId="0" xfId="0" applyNumberFormat="1" applyFont="1" applyFill="1" applyAlignment="1">
      <alignment horizontal="center" vertical="center"/>
    </xf>
    <xf numFmtId="1" fontId="8" fillId="0" borderId="15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3" fontId="8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1" fontId="2" fillId="0" borderId="0" xfId="0" applyNumberFormat="1" applyFont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9" fillId="0" borderId="2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2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172" fontId="4" fillId="0" borderId="0" xfId="0" applyNumberFormat="1" applyFont="1" applyFill="1" applyAlignment="1">
      <alignment vertical="center"/>
    </xf>
    <xf numFmtId="0" fontId="20" fillId="34" borderId="10" xfId="0" applyFont="1" applyFill="1" applyBorder="1" applyAlignment="1">
      <alignment horizontal="left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21" xfId="0" applyFont="1" applyFill="1" applyBorder="1" applyAlignment="1">
      <alignment horizontal="left" vertical="center" wrapText="1" indent="1"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vertical="center"/>
      <protection locked="0"/>
    </xf>
    <xf numFmtId="0" fontId="17" fillId="0" borderId="10" xfId="0" applyFont="1" applyBorder="1" applyAlignment="1" applyProtection="1">
      <alignment vertical="center"/>
      <protection locked="0"/>
    </xf>
    <xf numFmtId="3" fontId="6" fillId="0" borderId="21" xfId="0" applyNumberFormat="1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>
      <alignment horizontal="left" vertical="center" wrapText="1" indent="1"/>
    </xf>
    <xf numFmtId="3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>
      <alignment horizontal="left" vertical="center" wrapText="1" indent="1"/>
    </xf>
    <xf numFmtId="3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>
      <alignment horizontal="left" vertical="center" wrapText="1" indent="1"/>
    </xf>
    <xf numFmtId="3" fontId="6" fillId="0" borderId="27" xfId="0" applyNumberFormat="1" applyFont="1" applyFill="1" applyBorder="1" applyAlignment="1" applyProtection="1">
      <alignment horizontal="center" vertical="center" wrapText="1"/>
      <protection/>
    </xf>
    <xf numFmtId="3" fontId="6" fillId="0" borderId="23" xfId="0" applyNumberFormat="1" applyFont="1" applyFill="1" applyBorder="1" applyAlignment="1" applyProtection="1">
      <alignment horizontal="right" vertical="center" wrapText="1" indent="2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 horizontal="center" vertical="center"/>
      <protection locked="0"/>
    </xf>
    <xf numFmtId="3" fontId="6" fillId="0" borderId="25" xfId="0" applyNumberFormat="1" applyFont="1" applyFill="1" applyBorder="1" applyAlignment="1" applyProtection="1">
      <alignment horizontal="right" vertical="center" wrapText="1" indent="2"/>
      <protection/>
    </xf>
    <xf numFmtId="3" fontId="6" fillId="0" borderId="27" xfId="0" applyNumberFormat="1" applyFont="1" applyFill="1" applyBorder="1" applyAlignment="1" applyProtection="1">
      <alignment horizontal="right" vertical="center" wrapText="1" indent="2"/>
      <protection/>
    </xf>
    <xf numFmtId="3" fontId="6" fillId="0" borderId="21" xfId="0" applyNumberFormat="1" applyFont="1" applyFill="1" applyBorder="1" applyAlignment="1" applyProtection="1">
      <alignment horizontal="right" vertical="center" wrapText="1" indent="2"/>
      <protection/>
    </xf>
    <xf numFmtId="3" fontId="6" fillId="0" borderId="10" xfId="0" applyNumberFormat="1" applyFont="1" applyFill="1" applyBorder="1" applyAlignment="1" applyProtection="1">
      <alignment horizontal="right" vertical="center" wrapText="1" indent="2"/>
      <protection/>
    </xf>
    <xf numFmtId="0" fontId="4" fillId="0" borderId="0" xfId="0" applyFont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28" xfId="0" applyFont="1" applyFill="1" applyBorder="1" applyAlignment="1">
      <alignment horizontal="left" vertical="center" wrapText="1" indent="1"/>
    </xf>
    <xf numFmtId="2" fontId="6" fillId="0" borderId="28" xfId="0" applyNumberFormat="1" applyFont="1" applyFill="1" applyBorder="1" applyAlignment="1" applyProtection="1">
      <alignment horizontal="center" wrapText="1"/>
      <protection/>
    </xf>
    <xf numFmtId="1" fontId="0" fillId="0" borderId="28" xfId="0" applyNumberFormat="1" applyFont="1" applyFill="1" applyBorder="1" applyAlignment="1" applyProtection="1">
      <alignment horizontal="center" wrapText="1"/>
      <protection/>
    </xf>
    <xf numFmtId="0" fontId="2" fillId="0" borderId="29" xfId="0" applyFont="1" applyFill="1" applyBorder="1" applyAlignment="1">
      <alignment horizontal="left" vertical="center" wrapText="1" indent="1"/>
    </xf>
    <xf numFmtId="2" fontId="6" fillId="0" borderId="29" xfId="0" applyNumberFormat="1" applyFont="1" applyFill="1" applyBorder="1" applyAlignment="1" applyProtection="1">
      <alignment horizontal="center" wrapText="1"/>
      <protection/>
    </xf>
    <xf numFmtId="1" fontId="0" fillId="0" borderId="29" xfId="0" applyNumberFormat="1" applyFont="1" applyFill="1" applyBorder="1" applyAlignment="1" applyProtection="1">
      <alignment horizontal="center" wrapText="1"/>
      <protection/>
    </xf>
    <xf numFmtId="3" fontId="1" fillId="0" borderId="30" xfId="0" applyNumberFormat="1" applyFont="1" applyBorder="1" applyAlignment="1">
      <alignment horizontal="center"/>
    </xf>
    <xf numFmtId="0" fontId="70" fillId="35" borderId="0" xfId="0" applyFont="1" applyFill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1" fontId="4" fillId="0" borderId="30" xfId="0" applyNumberFormat="1" applyFont="1" applyBorder="1" applyAlignment="1" applyProtection="1">
      <alignment textRotation="90"/>
      <protection locked="0"/>
    </xf>
    <xf numFmtId="2" fontId="4" fillId="33" borderId="31" xfId="0" applyNumberFormat="1" applyFont="1" applyFill="1" applyBorder="1" applyAlignment="1" applyProtection="1">
      <alignment horizontal="center" textRotation="90"/>
      <protection locked="0"/>
    </xf>
    <xf numFmtId="1" fontId="4" fillId="33" borderId="31" xfId="0" applyNumberFormat="1" applyFont="1" applyFill="1" applyBorder="1" applyAlignment="1" applyProtection="1">
      <alignment horizontal="center" textRotation="90"/>
      <protection locked="0"/>
    </xf>
    <xf numFmtId="16" fontId="4" fillId="33" borderId="31" xfId="0" applyNumberFormat="1" applyFont="1" applyFill="1" applyBorder="1" applyAlignment="1" applyProtection="1">
      <alignment horizontal="center" textRotation="90"/>
      <protection locked="0"/>
    </xf>
    <xf numFmtId="1" fontId="0" fillId="0" borderId="0" xfId="0" applyNumberFormat="1" applyFont="1" applyAlignment="1">
      <alignment vertical="center"/>
    </xf>
    <xf numFmtId="1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vertical="center"/>
    </xf>
    <xf numFmtId="1" fontId="0" fillId="0" borderId="0" xfId="0" applyNumberFormat="1" applyFont="1" applyAlignment="1">
      <alignment/>
    </xf>
    <xf numFmtId="1" fontId="0" fillId="0" borderId="32" xfId="0" applyNumberFormat="1" applyFont="1" applyBorder="1" applyAlignment="1" applyProtection="1">
      <alignment horizontal="center" vertical="center"/>
      <protection locked="0"/>
    </xf>
    <xf numFmtId="2" fontId="6" fillId="0" borderId="28" xfId="0" applyNumberFormat="1" applyFont="1" applyBorder="1" applyAlignment="1" applyProtection="1">
      <alignment horizontal="center" vertical="center"/>
      <protection locked="0"/>
    </xf>
    <xf numFmtId="2" fontId="6" fillId="0" borderId="32" xfId="0" applyNumberFormat="1" applyFont="1" applyBorder="1" applyAlignment="1" applyProtection="1">
      <alignment horizontal="center" vertical="center"/>
      <protection locked="0"/>
    </xf>
    <xf numFmtId="16" fontId="0" fillId="0" borderId="32" xfId="0" applyNumberFormat="1" applyFont="1" applyBorder="1" applyAlignment="1" applyProtection="1">
      <alignment horizontal="center" vertical="center"/>
      <protection locked="0"/>
    </xf>
    <xf numFmtId="1" fontId="0" fillId="0" borderId="28" xfId="0" applyNumberFormat="1" applyFont="1" applyBorder="1" applyAlignment="1" applyProtection="1">
      <alignment horizontal="center" vertical="center"/>
      <protection locked="0"/>
    </xf>
    <xf numFmtId="16" fontId="0" fillId="0" borderId="28" xfId="0" applyNumberFormat="1" applyFont="1" applyBorder="1" applyAlignment="1" applyProtection="1">
      <alignment horizontal="center" vertical="center"/>
      <protection locked="0"/>
    </xf>
    <xf numFmtId="2" fontId="6" fillId="0" borderId="10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6" fontId="0" fillId="0" borderId="1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left"/>
    </xf>
    <xf numFmtId="1" fontId="2" fillId="0" borderId="11" xfId="0" applyNumberFormat="1" applyFont="1" applyFill="1" applyBorder="1" applyAlignment="1">
      <alignment horizontal="center" vertical="center"/>
    </xf>
    <xf numFmtId="3" fontId="9" fillId="0" borderId="33" xfId="0" applyNumberFormat="1" applyFont="1" applyBorder="1" applyAlignment="1">
      <alignment horizontal="center"/>
    </xf>
    <xf numFmtId="173" fontId="0" fillId="33" borderId="11" xfId="0" applyNumberFormat="1" applyFill="1" applyBorder="1" applyAlignment="1" applyProtection="1">
      <alignment horizontal="center" vertical="center" textRotation="90"/>
      <protection/>
    </xf>
    <xf numFmtId="173" fontId="0" fillId="33" borderId="11" xfId="0" applyNumberFormat="1" applyFont="1" applyFill="1" applyBorder="1" applyAlignment="1" applyProtection="1">
      <alignment horizontal="center" vertical="center" textRotation="90"/>
      <protection/>
    </xf>
    <xf numFmtId="49" fontId="0" fillId="33" borderId="10" xfId="0" applyNumberFormat="1" applyFont="1" applyFill="1" applyBorder="1" applyAlignment="1" applyProtection="1">
      <alignment horizontal="center" vertical="center" textRotation="90"/>
      <protection/>
    </xf>
    <xf numFmtId="172" fontId="27" fillId="0" borderId="28" xfId="0" applyNumberFormat="1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8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2" fontId="6" fillId="0" borderId="0" xfId="0" applyNumberFormat="1" applyFont="1" applyBorder="1" applyAlignment="1" applyProtection="1">
      <alignment horizontal="left"/>
      <protection locked="0"/>
    </xf>
    <xf numFmtId="1" fontId="2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 horizontal="center"/>
      <protection locked="0"/>
    </xf>
    <xf numFmtId="1" fontId="18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49" fontId="0" fillId="33" borderId="11" xfId="0" applyNumberFormat="1" applyFont="1" applyFill="1" applyBorder="1" applyAlignment="1" applyProtection="1">
      <alignment horizontal="center" textRotation="90"/>
      <protection/>
    </xf>
    <xf numFmtId="1" fontId="4" fillId="36" borderId="28" xfId="0" applyNumberFormat="1" applyFont="1" applyFill="1" applyBorder="1" applyAlignment="1" applyProtection="1">
      <alignment vertical="center" wrapText="1"/>
      <protection/>
    </xf>
    <xf numFmtId="1" fontId="4" fillId="36" borderId="28" xfId="0" applyNumberFormat="1" applyFont="1" applyFill="1" applyBorder="1" applyAlignment="1" applyProtection="1">
      <alignment horizontal="left" vertical="center" wrapText="1"/>
      <protection/>
    </xf>
    <xf numFmtId="1" fontId="4" fillId="36" borderId="28" xfId="0" applyNumberFormat="1" applyFont="1" applyFill="1" applyBorder="1" applyAlignment="1" applyProtection="1">
      <alignment horizontal="left" vertical="center"/>
      <protection/>
    </xf>
    <xf numFmtId="1" fontId="4" fillId="36" borderId="10" xfId="0" applyNumberFormat="1" applyFont="1" applyFill="1" applyBorder="1" applyAlignment="1" applyProtection="1">
      <alignment vertical="center" wrapText="1"/>
      <protection/>
    </xf>
    <xf numFmtId="1" fontId="4" fillId="36" borderId="10" xfId="0" applyNumberFormat="1" applyFont="1" applyFill="1" applyBorder="1" applyAlignment="1" applyProtection="1">
      <alignment horizontal="left" vertical="center" wrapText="1"/>
      <protection/>
    </xf>
    <xf numFmtId="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70" fillId="37" borderId="34" xfId="0" applyFont="1" applyFill="1" applyBorder="1" applyAlignment="1">
      <alignment horizontal="center"/>
    </xf>
    <xf numFmtId="16" fontId="70" fillId="37" borderId="35" xfId="0" applyNumberFormat="1" applyFont="1" applyFill="1" applyBorder="1" applyAlignment="1">
      <alignment horizontal="center"/>
    </xf>
    <xf numFmtId="20" fontId="32" fillId="0" borderId="34" xfId="0" applyNumberFormat="1" applyFont="1" applyFill="1" applyBorder="1" applyAlignment="1">
      <alignment horizontal="center"/>
    </xf>
    <xf numFmtId="0" fontId="0" fillId="0" borderId="35" xfId="0" applyFont="1" applyFill="1" applyBorder="1" applyAlignment="1">
      <alignment/>
    </xf>
    <xf numFmtId="0" fontId="32" fillId="0" borderId="34" xfId="0" applyFont="1" applyFill="1" applyBorder="1" applyAlignment="1">
      <alignment horizontal="center"/>
    </xf>
    <xf numFmtId="20" fontId="32" fillId="38" borderId="34" xfId="0" applyNumberFormat="1" applyFont="1" applyFill="1" applyBorder="1" applyAlignment="1">
      <alignment horizontal="center"/>
    </xf>
    <xf numFmtId="0" fontId="0" fillId="38" borderId="35" xfId="0" applyFont="1" applyFill="1" applyBorder="1" applyAlignment="1">
      <alignment/>
    </xf>
    <xf numFmtId="0" fontId="32" fillId="38" borderId="34" xfId="0" applyFont="1" applyFill="1" applyBorder="1" applyAlignment="1">
      <alignment horizontal="center"/>
    </xf>
    <xf numFmtId="2" fontId="6" fillId="0" borderId="36" xfId="0" applyNumberFormat="1" applyFont="1" applyBorder="1" applyAlignment="1" applyProtection="1">
      <alignment horizontal="center" vertical="center"/>
      <protection locked="0"/>
    </xf>
    <xf numFmtId="16" fontId="0" fillId="0" borderId="37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5" fillId="36" borderId="10" xfId="0" applyFont="1" applyFill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 locked="0"/>
    </xf>
    <xf numFmtId="1" fontId="4" fillId="0" borderId="0" xfId="0" applyNumberFormat="1" applyFont="1" applyBorder="1" applyAlignment="1" applyProtection="1">
      <alignment vertical="center"/>
      <protection/>
    </xf>
    <xf numFmtId="16" fontId="0" fillId="0" borderId="10" xfId="0" applyNumberFormat="1" applyBorder="1" applyAlignment="1" applyProtection="1">
      <alignment horizontal="center" vertical="center"/>
      <protection locked="0"/>
    </xf>
    <xf numFmtId="2" fontId="6" fillId="0" borderId="38" xfId="0" applyNumberFormat="1" applyFont="1" applyBorder="1" applyAlignment="1" applyProtection="1">
      <alignment horizontal="center" vertical="center"/>
      <protection locked="0"/>
    </xf>
    <xf numFmtId="1" fontId="0" fillId="0" borderId="38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1" fontId="4" fillId="0" borderId="28" xfId="0" applyNumberFormat="1" applyFont="1" applyBorder="1" applyAlignment="1" applyProtection="1">
      <alignment vertical="center"/>
      <protection locked="0"/>
    </xf>
    <xf numFmtId="2" fontId="6" fillId="0" borderId="21" xfId="0" applyNumberFormat="1" applyFont="1" applyBorder="1" applyAlignment="1" applyProtection="1">
      <alignment horizontal="center" vertical="center"/>
      <protection locked="0"/>
    </xf>
    <xf numFmtId="1" fontId="0" fillId="0" borderId="21" xfId="0" applyNumberFormat="1" applyFont="1" applyBorder="1" applyAlignment="1" applyProtection="1">
      <alignment horizontal="center" vertical="center"/>
      <protection locked="0"/>
    </xf>
    <xf numFmtId="1" fontId="4" fillId="0" borderId="0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vertical="center"/>
      <protection locked="0"/>
    </xf>
    <xf numFmtId="1" fontId="4" fillId="0" borderId="28" xfId="0" applyNumberFormat="1" applyFont="1" applyBorder="1" applyAlignment="1" applyProtection="1">
      <alignment horizontal="center" vertical="center"/>
      <protection locked="0"/>
    </xf>
    <xf numFmtId="16" fontId="4" fillId="0" borderId="28" xfId="0" applyNumberFormat="1" applyFont="1" applyBorder="1" applyAlignment="1" applyProtection="1">
      <alignment horizontal="center" vertical="center"/>
      <protection locked="0"/>
    </xf>
    <xf numFmtId="1" fontId="4" fillId="0" borderId="0" xfId="0" applyNumberFormat="1" applyFont="1" applyBorder="1" applyAlignment="1" applyProtection="1">
      <alignment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1" fontId="4" fillId="0" borderId="0" xfId="0" applyNumberFormat="1" applyFont="1" applyBorder="1" applyAlignment="1" applyProtection="1">
      <alignment horizontal="center" vertical="center"/>
      <protection locked="0"/>
    </xf>
    <xf numFmtId="16" fontId="4" fillId="0" borderId="0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5" fillId="36" borderId="10" xfId="0" applyFont="1" applyFill="1" applyBorder="1" applyAlignment="1" applyProtection="1">
      <alignment vertical="center"/>
      <protection locked="0"/>
    </xf>
    <xf numFmtId="1" fontId="0" fillId="0" borderId="28" xfId="0" applyNumberFormat="1" applyFont="1" applyFill="1" applyBorder="1" applyAlignment="1" applyProtection="1" quotePrefix="1">
      <alignment horizontal="center" wrapText="1"/>
      <protection/>
    </xf>
    <xf numFmtId="3" fontId="0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2" fillId="0" borderId="2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vertical="center"/>
    </xf>
    <xf numFmtId="172" fontId="2" fillId="0" borderId="28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1" fontId="12" fillId="0" borderId="0" xfId="0" applyNumberFormat="1" applyFont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 horizontal="center"/>
      <protection locked="0"/>
    </xf>
    <xf numFmtId="1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center"/>
    </xf>
    <xf numFmtId="16" fontId="1" fillId="0" borderId="0" xfId="0" applyNumberFormat="1" applyFont="1" applyBorder="1" applyAlignment="1">
      <alignment horizontal="center"/>
    </xf>
    <xf numFmtId="3" fontId="0" fillId="0" borderId="39" xfId="0" applyNumberFormat="1" applyFont="1" applyFill="1" applyBorder="1" applyAlignment="1" applyProtection="1">
      <alignment horizontal="right" vertical="center" wrapText="1"/>
      <protection/>
    </xf>
    <xf numFmtId="2" fontId="2" fillId="0" borderId="10" xfId="0" applyNumberFormat="1" applyFont="1" applyFill="1" applyBorder="1" applyAlignment="1" quotePrefix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3" fontId="2" fillId="0" borderId="21" xfId="0" applyNumberFormat="1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left" vertical="center" indent="1"/>
    </xf>
    <xf numFmtId="1" fontId="6" fillId="0" borderId="42" xfId="0" applyNumberFormat="1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3" fontId="6" fillId="0" borderId="41" xfId="0" applyNumberFormat="1" applyFont="1" applyFill="1" applyBorder="1" applyAlignment="1">
      <alignment horizontal="left" vertical="center" wrapText="1" indent="1"/>
    </xf>
    <xf numFmtId="3" fontId="6" fillId="0" borderId="42" xfId="0" applyNumberFormat="1" applyFont="1" applyFill="1" applyBorder="1" applyAlignment="1">
      <alignment vertical="center" wrapText="1"/>
    </xf>
    <xf numFmtId="0" fontId="0" fillId="0" borderId="4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indent="1"/>
    </xf>
    <xf numFmtId="1" fontId="0" fillId="0" borderId="44" xfId="0" applyNumberFormat="1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left" vertical="center" wrapText="1" indent="1"/>
    </xf>
    <xf numFmtId="3" fontId="0" fillId="0" borderId="44" xfId="0" applyNumberFormat="1" applyFont="1" applyFill="1" applyBorder="1" applyAlignment="1">
      <alignment vertical="center" wrapText="1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left" vertical="center" indent="1"/>
    </xf>
    <xf numFmtId="1" fontId="0" fillId="0" borderId="47" xfId="0" applyNumberFormat="1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3" fontId="0" fillId="0" borderId="46" xfId="0" applyNumberFormat="1" applyFont="1" applyFill="1" applyBorder="1" applyAlignment="1">
      <alignment horizontal="left" vertical="center" wrapText="1" indent="1"/>
    </xf>
    <xf numFmtId="3" fontId="0" fillId="0" borderId="47" xfId="0" applyNumberFormat="1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 indent="1"/>
    </xf>
    <xf numFmtId="1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3" fontId="0" fillId="0" borderId="21" xfId="0" applyNumberFormat="1" applyFont="1" applyFill="1" applyBorder="1" applyAlignment="1">
      <alignment horizontal="left" vertical="center" wrapText="1" indent="1"/>
    </xf>
    <xf numFmtId="3" fontId="0" fillId="0" borderId="21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left" vertical="center"/>
    </xf>
    <xf numFmtId="3" fontId="2" fillId="0" borderId="28" xfId="0" applyNumberFormat="1" applyFont="1" applyFill="1" applyBorder="1" applyAlignment="1">
      <alignment horizontal="center" vertical="center"/>
    </xf>
    <xf numFmtId="1" fontId="2" fillId="0" borderId="28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70" fillId="35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center" vertical="center"/>
    </xf>
    <xf numFmtId="20" fontId="0" fillId="0" borderId="0" xfId="0" applyNumberFormat="1" applyFont="1" applyBorder="1" applyAlignment="1">
      <alignment vertical="center"/>
    </xf>
    <xf numFmtId="20" fontId="0" fillId="0" borderId="0" xfId="0" applyNumberFormat="1" applyFont="1" applyBorder="1" applyAlignment="1">
      <alignment horizontal="center" vertical="center"/>
    </xf>
    <xf numFmtId="20" fontId="0" fillId="0" borderId="0" xfId="0" applyNumberFormat="1" applyFont="1" applyBorder="1" applyAlignment="1">
      <alignment horizontal="center"/>
    </xf>
    <xf numFmtId="2" fontId="2" fillId="0" borderId="39" xfId="0" applyNumberFormat="1" applyFont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30" fillId="0" borderId="28" xfId="0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16" fontId="1" fillId="0" borderId="28" xfId="0" applyNumberFormat="1" applyFont="1" applyBorder="1" applyAlignment="1">
      <alignment horizontal="center" vertical="center"/>
    </xf>
    <xf numFmtId="20" fontId="1" fillId="0" borderId="28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54" fillId="0" borderId="28" xfId="0" applyFont="1" applyBorder="1" applyAlignment="1">
      <alignment vertical="center"/>
    </xf>
    <xf numFmtId="3" fontId="1" fillId="0" borderId="28" xfId="0" applyNumberFormat="1" applyFont="1" applyBorder="1" applyAlignment="1">
      <alignment horizontal="center" vertical="center"/>
    </xf>
    <xf numFmtId="0" fontId="30" fillId="0" borderId="28" xfId="0" applyFont="1" applyBorder="1" applyAlignment="1">
      <alignment vertical="center"/>
    </xf>
    <xf numFmtId="0" fontId="55" fillId="39" borderId="28" xfId="0" applyFont="1" applyFill="1" applyBorder="1" applyAlignment="1">
      <alignment/>
    </xf>
    <xf numFmtId="176" fontId="1" fillId="0" borderId="28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left" vertical="center" indent="1"/>
    </xf>
    <xf numFmtId="2" fontId="6" fillId="0" borderId="4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indent="1"/>
    </xf>
    <xf numFmtId="2" fontId="0" fillId="0" borderId="44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left" vertical="center" indent="1"/>
    </xf>
    <xf numFmtId="2" fontId="0" fillId="0" borderId="47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 indent="1"/>
    </xf>
    <xf numFmtId="2" fontId="0" fillId="0" borderId="21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" fontId="6" fillId="0" borderId="41" xfId="0" applyNumberFormat="1" applyFont="1" applyBorder="1" applyAlignment="1">
      <alignment horizontal="left" vertical="center" indent="1"/>
    </xf>
    <xf numFmtId="3" fontId="1" fillId="0" borderId="30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2" fontId="6" fillId="0" borderId="48" xfId="0" applyNumberFormat="1" applyFont="1" applyBorder="1" applyAlignment="1" applyProtection="1">
      <alignment horizontal="center" vertical="center"/>
      <protection locked="0"/>
    </xf>
    <xf numFmtId="1" fontId="0" fillId="0" borderId="49" xfId="0" applyNumberFormat="1" applyFont="1" applyBorder="1" applyAlignment="1" applyProtection="1">
      <alignment horizontal="center" vertical="center"/>
      <protection locked="0"/>
    </xf>
    <xf numFmtId="16" fontId="0" fillId="0" borderId="50" xfId="0" applyNumberFormat="1" applyFont="1" applyBorder="1" applyAlignment="1" applyProtection="1">
      <alignment horizontal="center" vertical="center"/>
      <protection locked="0"/>
    </xf>
    <xf numFmtId="16" fontId="0" fillId="0" borderId="51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>
      <alignment horizontal="left" vertical="center" indent="1"/>
    </xf>
    <xf numFmtId="1" fontId="0" fillId="0" borderId="46" xfId="0" applyNumberFormat="1" applyFont="1" applyBorder="1" applyAlignment="1">
      <alignment horizontal="left" vertical="center" indent="1"/>
    </xf>
    <xf numFmtId="1" fontId="0" fillId="0" borderId="21" xfId="0" applyNumberFormat="1" applyFont="1" applyBorder="1" applyAlignment="1">
      <alignment horizontal="left" vertical="center" indent="1"/>
    </xf>
    <xf numFmtId="0" fontId="0" fillId="0" borderId="0" xfId="0" applyFont="1" applyFill="1" applyBorder="1" applyAlignment="1">
      <alignment/>
    </xf>
    <xf numFmtId="3" fontId="33" fillId="0" borderId="0" xfId="0" applyNumberFormat="1" applyFont="1" applyFill="1" applyBorder="1" applyAlignment="1">
      <alignment horizontal="center"/>
    </xf>
    <xf numFmtId="3" fontId="33" fillId="0" borderId="0" xfId="0" applyNumberFormat="1" applyFont="1" applyFill="1" applyBorder="1" applyAlignment="1">
      <alignment horizontal="left"/>
    </xf>
    <xf numFmtId="1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 vertical="center" indent="1"/>
    </xf>
    <xf numFmtId="173" fontId="0" fillId="33" borderId="11" xfId="0" applyNumberFormat="1" applyFill="1" applyBorder="1" applyAlignment="1" applyProtection="1" quotePrefix="1">
      <alignment horizontal="center" vertical="center" textRotation="90"/>
      <protection/>
    </xf>
    <xf numFmtId="2" fontId="1" fillId="0" borderId="0" xfId="0" applyNumberFormat="1" applyFont="1" applyBorder="1" applyAlignment="1">
      <alignment horizontal="center"/>
    </xf>
    <xf numFmtId="2" fontId="33" fillId="0" borderId="0" xfId="0" applyNumberFormat="1" applyFont="1" applyFill="1" applyBorder="1" applyAlignment="1">
      <alignment horizontal="center"/>
    </xf>
    <xf numFmtId="2" fontId="33" fillId="0" borderId="30" xfId="0" applyNumberFormat="1" applyFont="1" applyFill="1" applyBorder="1" applyAlignment="1">
      <alignment horizontal="center"/>
    </xf>
    <xf numFmtId="0" fontId="34" fillId="0" borderId="0" xfId="0" applyFont="1" applyAlignment="1" applyProtection="1">
      <alignment/>
      <protection locked="0"/>
    </xf>
    <xf numFmtId="0" fontId="34" fillId="0" borderId="0" xfId="0" applyFont="1" applyAlignment="1" applyProtection="1">
      <alignment vertical="center"/>
      <protection locked="0"/>
    </xf>
    <xf numFmtId="3" fontId="34" fillId="0" borderId="0" xfId="0" applyNumberFormat="1" applyFont="1" applyAlignment="1" applyProtection="1">
      <alignment horizontal="center" vertical="center"/>
      <protection locked="0"/>
    </xf>
    <xf numFmtId="1" fontId="4" fillId="36" borderId="10" xfId="0" applyNumberFormat="1" applyFont="1" applyFill="1" applyBorder="1" applyAlignment="1" applyProtection="1">
      <alignment vertical="center"/>
      <protection locked="0"/>
    </xf>
    <xf numFmtId="2" fontId="33" fillId="0" borderId="0" xfId="0" applyNumberFormat="1" applyFont="1" applyFill="1" applyBorder="1" applyAlignment="1">
      <alignment horizontal="left"/>
    </xf>
    <xf numFmtId="1" fontId="4" fillId="36" borderId="28" xfId="0" applyNumberFormat="1" applyFont="1" applyFill="1" applyBorder="1" applyAlignment="1" applyProtection="1">
      <alignment horizontal="left" vertical="center"/>
      <protection locked="0"/>
    </xf>
    <xf numFmtId="1" fontId="2" fillId="0" borderId="10" xfId="0" applyNumberFormat="1" applyFont="1" applyFill="1" applyBorder="1" applyAlignment="1" quotePrefix="1">
      <alignment horizontal="center" vertical="center"/>
    </xf>
    <xf numFmtId="0" fontId="6" fillId="0" borderId="10" xfId="0" applyNumberFormat="1" applyFont="1" applyBorder="1" applyAlignment="1">
      <alignment horizontal="left" vertical="center" indent="1"/>
    </xf>
    <xf numFmtId="0" fontId="20" fillId="34" borderId="11" xfId="0" applyFont="1" applyFill="1" applyBorder="1" applyAlignment="1">
      <alignment horizontal="left" wrapText="1"/>
    </xf>
    <xf numFmtId="0" fontId="2" fillId="0" borderId="2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1" fontId="8" fillId="0" borderId="10" xfId="0" applyNumberFormat="1" applyFont="1" applyFill="1" applyBorder="1" applyAlignment="1">
      <alignment horizontal="left" vertical="center"/>
    </xf>
    <xf numFmtId="0" fontId="54" fillId="0" borderId="28" xfId="0" applyFont="1" applyBorder="1" applyAlignment="1">
      <alignment vertical="center"/>
    </xf>
    <xf numFmtId="0" fontId="55" fillId="0" borderId="28" xfId="0" applyFont="1" applyFill="1" applyBorder="1" applyAlignment="1">
      <alignment/>
    </xf>
    <xf numFmtId="0" fontId="81" fillId="40" borderId="28" xfId="0" applyFont="1" applyFill="1" applyBorder="1" applyAlignment="1">
      <alignment/>
    </xf>
    <xf numFmtId="0" fontId="55" fillId="41" borderId="28" xfId="0" applyFont="1" applyFill="1" applyBorder="1" applyAlignment="1">
      <alignment/>
    </xf>
    <xf numFmtId="0" fontId="52" fillId="39" borderId="28" xfId="0" applyFont="1" applyFill="1" applyBorder="1" applyAlignment="1">
      <alignment/>
    </xf>
    <xf numFmtId="0" fontId="52" fillId="40" borderId="28" xfId="0" applyFont="1" applyFill="1" applyBorder="1" applyAlignment="1">
      <alignment/>
    </xf>
    <xf numFmtId="0" fontId="55" fillId="40" borderId="28" xfId="0" applyFont="1" applyFill="1" applyBorder="1" applyAlignment="1">
      <alignment/>
    </xf>
    <xf numFmtId="0" fontId="52" fillId="41" borderId="28" xfId="0" applyFont="1" applyFill="1" applyBorder="1" applyAlignment="1">
      <alignment/>
    </xf>
    <xf numFmtId="0" fontId="82" fillId="41" borderId="28" xfId="0" applyFont="1" applyFill="1" applyBorder="1" applyAlignment="1">
      <alignment/>
    </xf>
    <xf numFmtId="0" fontId="83" fillId="39" borderId="28" xfId="0" applyFont="1" applyFill="1" applyBorder="1" applyAlignment="1">
      <alignment/>
    </xf>
    <xf numFmtId="0" fontId="35" fillId="0" borderId="28" xfId="0" applyFont="1" applyFill="1" applyBorder="1" applyAlignment="1">
      <alignment horizontal="left" vertical="center" wrapText="1" indent="1"/>
    </xf>
    <xf numFmtId="0" fontId="21" fillId="0" borderId="0" xfId="0" applyFont="1" applyBorder="1" applyAlignment="1" applyProtection="1">
      <alignment/>
      <protection locked="0"/>
    </xf>
    <xf numFmtId="0" fontId="35" fillId="0" borderId="0" xfId="0" applyFont="1" applyFill="1" applyBorder="1" applyAlignment="1">
      <alignment horizontal="left" vertical="center" wrapText="1" indent="1"/>
    </xf>
    <xf numFmtId="172" fontId="2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1" fontId="0" fillId="0" borderId="29" xfId="0" applyNumberFormat="1" applyFont="1" applyFill="1" applyBorder="1" applyAlignment="1" applyProtection="1" quotePrefix="1">
      <alignment horizontal="center" wrapText="1"/>
      <protection/>
    </xf>
    <xf numFmtId="3" fontId="0" fillId="0" borderId="39" xfId="0" applyNumberFormat="1" applyBorder="1" applyAlignment="1">
      <alignment horizontal="right" vertical="center" wrapText="1"/>
    </xf>
    <xf numFmtId="3" fontId="0" fillId="0" borderId="10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horizontal="right" vertical="center" wrapText="1"/>
      <protection/>
    </xf>
    <xf numFmtId="16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16" fontId="1" fillId="0" borderId="30" xfId="0" applyNumberFormat="1" applyFont="1" applyFill="1" applyBorder="1" applyAlignment="1">
      <alignment horizontal="center"/>
    </xf>
    <xf numFmtId="3" fontId="1" fillId="0" borderId="30" xfId="0" applyNumberFormat="1" applyFont="1" applyFill="1" applyBorder="1" applyAlignment="1">
      <alignment horizontal="center"/>
    </xf>
    <xf numFmtId="3" fontId="1" fillId="0" borderId="30" xfId="0" applyNumberFormat="1" applyFont="1" applyFill="1" applyBorder="1" applyAlignment="1">
      <alignment horizontal="left"/>
    </xf>
    <xf numFmtId="1" fontId="33" fillId="0" borderId="0" xfId="0" applyNumberFormat="1" applyFont="1" applyFill="1" applyBorder="1" applyAlignment="1">
      <alignment horizontal="left"/>
    </xf>
    <xf numFmtId="0" fontId="33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left"/>
    </xf>
    <xf numFmtId="3" fontId="33" fillId="0" borderId="30" xfId="0" applyNumberFormat="1" applyFont="1" applyFill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0" xfId="0" applyBorder="1" applyAlignment="1">
      <alignment horizontal="center"/>
    </xf>
    <xf numFmtId="3" fontId="1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2" fillId="0" borderId="28" xfId="0" applyFont="1" applyBorder="1" applyAlignment="1">
      <alignment/>
    </xf>
    <xf numFmtId="0" fontId="1" fillId="0" borderId="0" xfId="0" applyNumberFormat="1" applyFont="1" applyFill="1" applyBorder="1" applyAlignment="1">
      <alignment horizontal="left"/>
    </xf>
    <xf numFmtId="1" fontId="84" fillId="0" borderId="28" xfId="0" applyNumberFormat="1" applyFont="1" applyFill="1" applyBorder="1" applyAlignment="1" applyProtection="1" quotePrefix="1">
      <alignment horizontal="center" wrapText="1"/>
      <protection/>
    </xf>
    <xf numFmtId="1" fontId="4" fillId="36" borderId="10" xfId="0" applyNumberFormat="1" applyFont="1" applyFill="1" applyBorder="1" applyAlignment="1" applyProtection="1">
      <alignment horizontal="left" vertical="center"/>
      <protection/>
    </xf>
    <xf numFmtId="1" fontId="84" fillId="0" borderId="10" xfId="0" applyNumberFormat="1" applyFont="1" applyFill="1" applyBorder="1" applyAlignment="1" applyProtection="1" quotePrefix="1">
      <alignment horizontal="center" vertical="center" wrapText="1"/>
      <protection/>
    </xf>
    <xf numFmtId="1" fontId="4" fillId="0" borderId="32" xfId="0" applyNumberFormat="1" applyFont="1" applyBorder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/>
      <protection locked="0"/>
    </xf>
    <xf numFmtId="1" fontId="4" fillId="0" borderId="36" xfId="0" applyNumberFormat="1" applyFont="1" applyBorder="1" applyAlignment="1" applyProtection="1">
      <alignment vertical="center"/>
      <protection locked="0"/>
    </xf>
    <xf numFmtId="1" fontId="0" fillId="42" borderId="28" xfId="0" applyNumberFormat="1" applyFont="1" applyFill="1" applyBorder="1" applyAlignment="1" applyProtection="1">
      <alignment horizontal="center" wrapText="1"/>
      <protection/>
    </xf>
    <xf numFmtId="1" fontId="0" fillId="42" borderId="28" xfId="0" applyNumberFormat="1" applyFont="1" applyFill="1" applyBorder="1" applyAlignment="1" applyProtection="1" quotePrefix="1">
      <alignment horizontal="center" wrapText="1"/>
      <protection/>
    </xf>
    <xf numFmtId="1" fontId="0" fillId="42" borderId="29" xfId="0" applyNumberFormat="1" applyFont="1" applyFill="1" applyBorder="1" applyAlignment="1" applyProtection="1">
      <alignment horizontal="center" wrapText="1"/>
      <protection/>
    </xf>
    <xf numFmtId="3" fontId="1" fillId="0" borderId="30" xfId="0" applyNumberFormat="1" applyFont="1" applyBorder="1" applyAlignment="1">
      <alignment horizontal="left"/>
    </xf>
    <xf numFmtId="0" fontId="33" fillId="0" borderId="30" xfId="0" applyFont="1" applyFill="1" applyBorder="1" applyAlignment="1">
      <alignment horizontal="left"/>
    </xf>
    <xf numFmtId="3" fontId="33" fillId="0" borderId="30" xfId="0" applyNumberFormat="1" applyFont="1" applyFill="1" applyBorder="1" applyAlignment="1">
      <alignment horizontal="center"/>
    </xf>
    <xf numFmtId="16" fontId="1" fillId="0" borderId="30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2" fontId="1" fillId="0" borderId="30" xfId="0" applyNumberFormat="1" applyFont="1" applyBorder="1" applyAlignment="1">
      <alignment horizontal="center"/>
    </xf>
    <xf numFmtId="1" fontId="4" fillId="0" borderId="52" xfId="0" applyNumberFormat="1" applyFont="1" applyBorder="1" applyAlignment="1" applyProtection="1">
      <alignment vertical="center"/>
      <protection locked="0"/>
    </xf>
    <xf numFmtId="1" fontId="4" fillId="36" borderId="53" xfId="0" applyNumberFormat="1" applyFont="1" applyFill="1" applyBorder="1" applyAlignment="1" applyProtection="1">
      <alignment vertical="center" wrapText="1"/>
      <protection/>
    </xf>
    <xf numFmtId="1" fontId="4" fillId="36" borderId="54" xfId="0" applyNumberFormat="1" applyFont="1" applyFill="1" applyBorder="1" applyAlignment="1" applyProtection="1">
      <alignment vertical="center"/>
      <protection locked="0"/>
    </xf>
    <xf numFmtId="1" fontId="4" fillId="0" borderId="21" xfId="0" applyNumberFormat="1" applyFont="1" applyBorder="1" applyAlignment="1" applyProtection="1">
      <alignment vertical="center"/>
      <protection locked="0"/>
    </xf>
    <xf numFmtId="1" fontId="84" fillId="0" borderId="29" xfId="0" applyNumberFormat="1" applyFont="1" applyFill="1" applyBorder="1" applyAlignment="1" applyProtection="1" quotePrefix="1">
      <alignment horizontal="center" wrapText="1"/>
      <protection/>
    </xf>
    <xf numFmtId="0" fontId="8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5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5" fillId="43" borderId="56" xfId="0" applyFont="1" applyFill="1" applyBorder="1" applyAlignment="1">
      <alignment horizontal="center" vertical="center"/>
    </xf>
    <xf numFmtId="0" fontId="5" fillId="43" borderId="57" xfId="0" applyFont="1" applyFill="1" applyBorder="1" applyAlignment="1">
      <alignment horizontal="center" vertical="center"/>
    </xf>
    <xf numFmtId="0" fontId="5" fillId="43" borderId="58" xfId="0" applyFont="1" applyFill="1" applyBorder="1" applyAlignment="1">
      <alignment horizontal="center" vertical="center"/>
    </xf>
    <xf numFmtId="0" fontId="6" fillId="43" borderId="15" xfId="0" applyFont="1" applyFill="1" applyBorder="1" applyAlignment="1">
      <alignment horizontal="center" vertical="center"/>
    </xf>
    <xf numFmtId="0" fontId="6" fillId="43" borderId="16" xfId="0" applyFont="1" applyFill="1" applyBorder="1" applyAlignment="1">
      <alignment horizontal="center" vertical="center"/>
    </xf>
    <xf numFmtId="0" fontId="6" fillId="43" borderId="14" xfId="0" applyFont="1" applyFill="1" applyBorder="1" applyAlignment="1">
      <alignment horizontal="center" vertical="center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>
      <alignment horizontal="center" vertical="center"/>
    </xf>
    <xf numFmtId="3" fontId="2" fillId="0" borderId="59" xfId="0" applyNumberFormat="1" applyFont="1" applyFill="1" applyBorder="1" applyAlignment="1">
      <alignment horizontal="center" vertical="center"/>
    </xf>
    <xf numFmtId="3" fontId="2" fillId="0" borderId="60" xfId="0" applyNumberFormat="1" applyFont="1" applyFill="1" applyBorder="1" applyAlignment="1">
      <alignment horizontal="center" vertical="center"/>
    </xf>
    <xf numFmtId="3" fontId="2" fillId="0" borderId="61" xfId="0" applyNumberFormat="1" applyFont="1" applyFill="1" applyBorder="1" applyAlignment="1">
      <alignment horizontal="center" vertical="center"/>
    </xf>
    <xf numFmtId="1" fontId="2" fillId="0" borderId="59" xfId="0" applyNumberFormat="1" applyFont="1" applyFill="1" applyBorder="1" applyAlignment="1">
      <alignment horizontal="center" vertical="center"/>
    </xf>
    <xf numFmtId="1" fontId="2" fillId="0" borderId="60" xfId="0" applyNumberFormat="1" applyFont="1" applyFill="1" applyBorder="1" applyAlignment="1">
      <alignment horizontal="center" vertical="center"/>
    </xf>
    <xf numFmtId="1" fontId="2" fillId="0" borderId="61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62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3" fontId="2" fillId="0" borderId="63" xfId="0" applyNumberFormat="1" applyFont="1" applyFill="1" applyBorder="1" applyAlignment="1">
      <alignment horizontal="center" vertical="center"/>
    </xf>
    <xf numFmtId="3" fontId="2" fillId="0" borderId="64" xfId="0" applyNumberFormat="1" applyFont="1" applyFill="1" applyBorder="1" applyAlignment="1">
      <alignment horizontal="center" vertical="center"/>
    </xf>
    <xf numFmtId="0" fontId="43" fillId="44" borderId="65" xfId="0" applyFont="1" applyFill="1" applyBorder="1" applyAlignment="1">
      <alignment horizontal="center" vertical="center"/>
    </xf>
    <xf numFmtId="0" fontId="43" fillId="44" borderId="66" xfId="0" applyFont="1" applyFill="1" applyBorder="1" applyAlignment="1">
      <alignment horizontal="center" vertical="center"/>
    </xf>
    <xf numFmtId="0" fontId="43" fillId="44" borderId="67" xfId="0" applyFont="1" applyFill="1" applyBorder="1" applyAlignment="1">
      <alignment horizontal="center" vertical="center"/>
    </xf>
    <xf numFmtId="0" fontId="85" fillId="0" borderId="28" xfId="0" applyFont="1" applyBorder="1" applyAlignment="1">
      <alignment horizontal="center" vertical="center"/>
    </xf>
    <xf numFmtId="0" fontId="54" fillId="0" borderId="28" xfId="0" applyFont="1" applyBorder="1" applyAlignment="1">
      <alignment vertical="center"/>
    </xf>
    <xf numFmtId="0" fontId="43" fillId="44" borderId="28" xfId="0" applyFont="1" applyFill="1" applyBorder="1" applyAlignment="1">
      <alignment horizontal="center" vertical="center"/>
    </xf>
    <xf numFmtId="16" fontId="43" fillId="44" borderId="28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 % - Farve 1" xfId="15"/>
    <cellStyle name="20 % - Farve 2" xfId="16"/>
    <cellStyle name="20 % - Farve 3" xfId="17"/>
    <cellStyle name="20 % - Farve 4" xfId="18"/>
    <cellStyle name="20 % - Farve 5" xfId="19"/>
    <cellStyle name="20 % - Farve 6" xfId="20"/>
    <cellStyle name="40 % - Farve 1" xfId="21"/>
    <cellStyle name="40 % - Farve 2" xfId="22"/>
    <cellStyle name="40 % - Farve 3" xfId="23"/>
    <cellStyle name="40 % - Farve 4" xfId="24"/>
    <cellStyle name="40 % - Farve 5" xfId="25"/>
    <cellStyle name="40 % - Farve 6" xfId="26"/>
    <cellStyle name="60 % - Farve 1" xfId="27"/>
    <cellStyle name="60 % - Farve 2" xfId="28"/>
    <cellStyle name="60 % - Farve 3" xfId="29"/>
    <cellStyle name="60 % - Farve 4" xfId="30"/>
    <cellStyle name="60 % - Farve 5" xfId="31"/>
    <cellStyle name="60 % - Farve 6" xfId="32"/>
    <cellStyle name="Advarselstekst" xfId="33"/>
    <cellStyle name="Bemærk!" xfId="34"/>
    <cellStyle name="Beregning" xfId="35"/>
    <cellStyle name="Farve 1" xfId="36"/>
    <cellStyle name="Farve 2" xfId="37"/>
    <cellStyle name="Farve 3" xfId="38"/>
    <cellStyle name="Farve 4" xfId="39"/>
    <cellStyle name="Farve 5" xfId="40"/>
    <cellStyle name="Farve 6" xfId="41"/>
    <cellStyle name="Forklarende tekst" xfId="42"/>
    <cellStyle name="God" xfId="43"/>
    <cellStyle name="Hyperlink" xfId="44"/>
    <cellStyle name="Input" xfId="45"/>
    <cellStyle name="Comma" xfId="46"/>
    <cellStyle name="Comma [0]" xfId="47"/>
    <cellStyle name="Kontroller celle" xfId="48"/>
    <cellStyle name="Neutral" xfId="49"/>
    <cellStyle name="Normal 2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externalLink" Target="externalLinks/externalLink1.xml" /><Relationship Id="rId4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190500</xdr:colOff>
      <xdr:row>18</xdr:row>
      <xdr:rowOff>38100</xdr:rowOff>
    </xdr:from>
    <xdr:to>
      <xdr:col>15</xdr:col>
      <xdr:colOff>476250</xdr:colOff>
      <xdr:row>26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24825" y="4476750"/>
          <a:ext cx="156210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17</xdr:row>
      <xdr:rowOff>0</xdr:rowOff>
    </xdr:from>
    <xdr:to>
      <xdr:col>13</xdr:col>
      <xdr:colOff>457200</xdr:colOff>
      <xdr:row>20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7820025" y="4467225"/>
          <a:ext cx="952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457200</xdr:colOff>
      <xdr:row>20</xdr:row>
      <xdr:rowOff>180975</xdr:rowOff>
    </xdr:to>
    <xdr:sp>
      <xdr:nvSpPr>
        <xdr:cNvPr id="3" name="AutoShape 1"/>
        <xdr:cNvSpPr>
          <a:spLocks/>
        </xdr:cNvSpPr>
      </xdr:nvSpPr>
      <xdr:spPr>
        <a:xfrm>
          <a:off x="7820025" y="4467225"/>
          <a:ext cx="952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457200</xdr:colOff>
      <xdr:row>20</xdr:row>
      <xdr:rowOff>180975</xdr:rowOff>
    </xdr:to>
    <xdr:sp>
      <xdr:nvSpPr>
        <xdr:cNvPr id="4" name="AutoShape 1"/>
        <xdr:cNvSpPr>
          <a:spLocks/>
        </xdr:cNvSpPr>
      </xdr:nvSpPr>
      <xdr:spPr>
        <a:xfrm>
          <a:off x="7820025" y="4467225"/>
          <a:ext cx="952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29</xdr:row>
      <xdr:rowOff>0</xdr:rowOff>
    </xdr:from>
    <xdr:to>
      <xdr:col>13</xdr:col>
      <xdr:colOff>457200</xdr:colOff>
      <xdr:row>32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820025" y="72104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457200</xdr:colOff>
      <xdr:row>32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72104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457200</xdr:colOff>
      <xdr:row>32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820025" y="72104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29</xdr:row>
      <xdr:rowOff>0</xdr:rowOff>
    </xdr:from>
    <xdr:to>
      <xdr:col>13</xdr:col>
      <xdr:colOff>457200</xdr:colOff>
      <xdr:row>32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820025" y="7277100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457200</xdr:colOff>
      <xdr:row>32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7277100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457200</xdr:colOff>
      <xdr:row>32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820025" y="7277100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43100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71700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820025" y="7048500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7048500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820025" y="7048500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43100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71700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29</xdr:row>
      <xdr:rowOff>0</xdr:rowOff>
    </xdr:from>
    <xdr:to>
      <xdr:col>13</xdr:col>
      <xdr:colOff>457200</xdr:colOff>
      <xdr:row>32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820025" y="72866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457200</xdr:colOff>
      <xdr:row>32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72866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457200</xdr:colOff>
      <xdr:row>32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820025" y="72866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457200</xdr:colOff>
      <xdr:row>32</xdr:row>
      <xdr:rowOff>152400</xdr:rowOff>
    </xdr:to>
    <xdr:sp>
      <xdr:nvSpPr>
        <xdr:cNvPr id="2" name="AutoShape 1"/>
        <xdr:cNvSpPr>
          <a:spLocks/>
        </xdr:cNvSpPr>
      </xdr:nvSpPr>
      <xdr:spPr>
        <a:xfrm>
          <a:off x="7820025" y="72866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457200</xdr:colOff>
      <xdr:row>32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72866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4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2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3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29</xdr:row>
      <xdr:rowOff>0</xdr:rowOff>
    </xdr:from>
    <xdr:to>
      <xdr:col>13</xdr:col>
      <xdr:colOff>457200</xdr:colOff>
      <xdr:row>32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820025" y="72866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457200</xdr:colOff>
      <xdr:row>32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72866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457200</xdr:colOff>
      <xdr:row>32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820025" y="72866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29</xdr:row>
      <xdr:rowOff>0</xdr:rowOff>
    </xdr:from>
    <xdr:to>
      <xdr:col>13</xdr:col>
      <xdr:colOff>457200</xdr:colOff>
      <xdr:row>32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820025" y="72866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457200</xdr:colOff>
      <xdr:row>32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72866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457200</xdr:colOff>
      <xdr:row>32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820025" y="72866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29</xdr:row>
      <xdr:rowOff>0</xdr:rowOff>
    </xdr:from>
    <xdr:to>
      <xdr:col>13</xdr:col>
      <xdr:colOff>457200</xdr:colOff>
      <xdr:row>32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820025" y="72866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457200</xdr:colOff>
      <xdr:row>32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72866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457200</xdr:colOff>
      <xdr:row>32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820025" y="72866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1</xdr:row>
      <xdr:rowOff>104775</xdr:rowOff>
    </xdr:from>
    <xdr:to>
      <xdr:col>1</xdr:col>
      <xdr:colOff>1066800</xdr:colOff>
      <xdr:row>1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419100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29</xdr:row>
      <xdr:rowOff>0</xdr:rowOff>
    </xdr:from>
    <xdr:to>
      <xdr:col>10</xdr:col>
      <xdr:colOff>390525</xdr:colOff>
      <xdr:row>32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6267450" y="72866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29</xdr:row>
      <xdr:rowOff>0</xdr:rowOff>
    </xdr:from>
    <xdr:to>
      <xdr:col>10</xdr:col>
      <xdr:colOff>390525</xdr:colOff>
      <xdr:row>32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6267450" y="72866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10</xdr:col>
      <xdr:colOff>390525</xdr:colOff>
      <xdr:row>32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6267450" y="72866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29</xdr:row>
      <xdr:rowOff>0</xdr:rowOff>
    </xdr:from>
    <xdr:to>
      <xdr:col>13</xdr:col>
      <xdr:colOff>457200</xdr:colOff>
      <xdr:row>32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820025" y="72866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457200</xdr:colOff>
      <xdr:row>32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72866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457200</xdr:colOff>
      <xdr:row>32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820025" y="72866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7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8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2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3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2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3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29</xdr:row>
      <xdr:rowOff>0</xdr:rowOff>
    </xdr:from>
    <xdr:to>
      <xdr:col>13</xdr:col>
      <xdr:colOff>457200</xdr:colOff>
      <xdr:row>32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820025" y="72866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457200</xdr:colOff>
      <xdr:row>32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72866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457200</xdr:colOff>
      <xdr:row>32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820025" y="72866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2" name="AutoShape 1"/>
        <xdr:cNvSpPr>
          <a:spLocks/>
        </xdr:cNvSpPr>
      </xdr:nvSpPr>
      <xdr:spPr>
        <a:xfrm>
          <a:off x="7820025" y="69818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69818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4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2" name="AutoShape 1"/>
        <xdr:cNvSpPr>
          <a:spLocks/>
        </xdr:cNvSpPr>
      </xdr:nvSpPr>
      <xdr:spPr>
        <a:xfrm>
          <a:off x="7820025" y="6981825"/>
          <a:ext cx="952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6981825"/>
          <a:ext cx="952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4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6</xdr:row>
      <xdr:rowOff>38100</xdr:rowOff>
    </xdr:from>
    <xdr:to>
      <xdr:col>13</xdr:col>
      <xdr:colOff>542925</xdr:colOff>
      <xdr:row>10</xdr:row>
      <xdr:rowOff>38100</xdr:rowOff>
    </xdr:to>
    <xdr:sp>
      <xdr:nvSpPr>
        <xdr:cNvPr id="6" name="AutoShape 1"/>
        <xdr:cNvSpPr>
          <a:spLocks/>
        </xdr:cNvSpPr>
      </xdr:nvSpPr>
      <xdr:spPr>
        <a:xfrm>
          <a:off x="7905750" y="19907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7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8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9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10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11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6</xdr:row>
      <xdr:rowOff>38100</xdr:rowOff>
    </xdr:from>
    <xdr:to>
      <xdr:col>13</xdr:col>
      <xdr:colOff>542925</xdr:colOff>
      <xdr:row>10</xdr:row>
      <xdr:rowOff>38100</xdr:rowOff>
    </xdr:to>
    <xdr:sp>
      <xdr:nvSpPr>
        <xdr:cNvPr id="12" name="AutoShape 1"/>
        <xdr:cNvSpPr>
          <a:spLocks/>
        </xdr:cNvSpPr>
      </xdr:nvSpPr>
      <xdr:spPr>
        <a:xfrm>
          <a:off x="7905750" y="19907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13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14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15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2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4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457200</xdr:colOff>
      <xdr:row>32</xdr:row>
      <xdr:rowOff>152400</xdr:rowOff>
    </xdr:to>
    <xdr:sp>
      <xdr:nvSpPr>
        <xdr:cNvPr id="2" name="AutoShape 1"/>
        <xdr:cNvSpPr>
          <a:spLocks/>
        </xdr:cNvSpPr>
      </xdr:nvSpPr>
      <xdr:spPr>
        <a:xfrm>
          <a:off x="7820025" y="72866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457200</xdr:colOff>
      <xdr:row>32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72866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4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</xdr:row>
      <xdr:rowOff>152400</xdr:rowOff>
    </xdr:from>
    <xdr:to>
      <xdr:col>1</xdr:col>
      <xdr:colOff>1028700</xdr:colOff>
      <xdr:row>1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667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457200</xdr:colOff>
      <xdr:row>32</xdr:row>
      <xdr:rowOff>152400</xdr:rowOff>
    </xdr:to>
    <xdr:sp>
      <xdr:nvSpPr>
        <xdr:cNvPr id="2" name="AutoShape 1"/>
        <xdr:cNvSpPr>
          <a:spLocks/>
        </xdr:cNvSpPr>
      </xdr:nvSpPr>
      <xdr:spPr>
        <a:xfrm>
          <a:off x="7820025" y="72866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457200</xdr:colOff>
      <xdr:row>32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72866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4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457200</xdr:colOff>
      <xdr:row>32</xdr:row>
      <xdr:rowOff>152400</xdr:rowOff>
    </xdr:to>
    <xdr:sp>
      <xdr:nvSpPr>
        <xdr:cNvPr id="2" name="AutoShape 1"/>
        <xdr:cNvSpPr>
          <a:spLocks/>
        </xdr:cNvSpPr>
      </xdr:nvSpPr>
      <xdr:spPr>
        <a:xfrm>
          <a:off x="7820025" y="72866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457200</xdr:colOff>
      <xdr:row>32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72866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4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457200</xdr:colOff>
      <xdr:row>32</xdr:row>
      <xdr:rowOff>152400</xdr:rowOff>
    </xdr:to>
    <xdr:sp>
      <xdr:nvSpPr>
        <xdr:cNvPr id="2" name="AutoShape 1"/>
        <xdr:cNvSpPr>
          <a:spLocks/>
        </xdr:cNvSpPr>
      </xdr:nvSpPr>
      <xdr:spPr>
        <a:xfrm>
          <a:off x="7820025" y="72866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457200</xdr:colOff>
      <xdr:row>32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72866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4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2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4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457200</xdr:colOff>
      <xdr:row>32</xdr:row>
      <xdr:rowOff>152400</xdr:rowOff>
    </xdr:to>
    <xdr:sp>
      <xdr:nvSpPr>
        <xdr:cNvPr id="2" name="AutoShape 1"/>
        <xdr:cNvSpPr>
          <a:spLocks/>
        </xdr:cNvSpPr>
      </xdr:nvSpPr>
      <xdr:spPr>
        <a:xfrm>
          <a:off x="7820025" y="72866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457200</xdr:colOff>
      <xdr:row>32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72866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4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457200</xdr:colOff>
      <xdr:row>32</xdr:row>
      <xdr:rowOff>152400</xdr:rowOff>
    </xdr:to>
    <xdr:sp>
      <xdr:nvSpPr>
        <xdr:cNvPr id="2" name="AutoShape 1"/>
        <xdr:cNvSpPr>
          <a:spLocks/>
        </xdr:cNvSpPr>
      </xdr:nvSpPr>
      <xdr:spPr>
        <a:xfrm>
          <a:off x="7820025" y="72866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457200</xdr:colOff>
      <xdr:row>32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72866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4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2" name="AutoShape 1"/>
        <xdr:cNvSpPr>
          <a:spLocks/>
        </xdr:cNvSpPr>
      </xdr:nvSpPr>
      <xdr:spPr>
        <a:xfrm>
          <a:off x="7820025" y="7058025"/>
          <a:ext cx="952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7058025"/>
          <a:ext cx="952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4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8</xdr:row>
      <xdr:rowOff>0</xdr:rowOff>
    </xdr:from>
    <xdr:to>
      <xdr:col>13</xdr:col>
      <xdr:colOff>457200</xdr:colOff>
      <xdr:row>11</xdr:row>
      <xdr:rowOff>228600</xdr:rowOff>
    </xdr:to>
    <xdr:sp>
      <xdr:nvSpPr>
        <xdr:cNvPr id="1" name="AutoShape 1"/>
        <xdr:cNvSpPr>
          <a:spLocks/>
        </xdr:cNvSpPr>
      </xdr:nvSpPr>
      <xdr:spPr>
        <a:xfrm>
          <a:off x="7820025" y="24098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457200</xdr:colOff>
      <xdr:row>32</xdr:row>
      <xdr:rowOff>152400</xdr:rowOff>
    </xdr:to>
    <xdr:sp>
      <xdr:nvSpPr>
        <xdr:cNvPr id="2" name="AutoShape 1"/>
        <xdr:cNvSpPr>
          <a:spLocks/>
        </xdr:cNvSpPr>
      </xdr:nvSpPr>
      <xdr:spPr>
        <a:xfrm>
          <a:off x="7820025" y="72866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457200</xdr:colOff>
      <xdr:row>32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820025" y="72866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457200</xdr:colOff>
      <xdr:row>32</xdr:row>
      <xdr:rowOff>152400</xdr:rowOff>
    </xdr:to>
    <xdr:sp>
      <xdr:nvSpPr>
        <xdr:cNvPr id="5" name="AutoShape 1"/>
        <xdr:cNvSpPr>
          <a:spLocks/>
        </xdr:cNvSpPr>
      </xdr:nvSpPr>
      <xdr:spPr>
        <a:xfrm>
          <a:off x="7820025" y="72866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7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457200</xdr:colOff>
      <xdr:row>32</xdr:row>
      <xdr:rowOff>152400</xdr:rowOff>
    </xdr:to>
    <xdr:sp>
      <xdr:nvSpPr>
        <xdr:cNvPr id="2" name="AutoShape 1"/>
        <xdr:cNvSpPr>
          <a:spLocks/>
        </xdr:cNvSpPr>
      </xdr:nvSpPr>
      <xdr:spPr>
        <a:xfrm>
          <a:off x="7820025" y="7286625"/>
          <a:ext cx="952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457200</xdr:colOff>
      <xdr:row>32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7286625"/>
          <a:ext cx="952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4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1</xdr:row>
      <xdr:rowOff>66675</xdr:rowOff>
    </xdr:from>
    <xdr:to>
      <xdr:col>1</xdr:col>
      <xdr:colOff>942975</xdr:colOff>
      <xdr:row>1</xdr:row>
      <xdr:rowOff>571500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42900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409575</xdr:colOff>
      <xdr:row>1</xdr:row>
      <xdr:rowOff>66675</xdr:rowOff>
    </xdr:from>
    <xdr:to>
      <xdr:col>1</xdr:col>
      <xdr:colOff>942975</xdr:colOff>
      <xdr:row>1</xdr:row>
      <xdr:rowOff>571500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42900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1</xdr:row>
      <xdr:rowOff>66675</xdr:rowOff>
    </xdr:from>
    <xdr:to>
      <xdr:col>1</xdr:col>
      <xdr:colOff>942975</xdr:colOff>
      <xdr:row>1</xdr:row>
      <xdr:rowOff>571500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42900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409575</xdr:colOff>
      <xdr:row>1</xdr:row>
      <xdr:rowOff>66675</xdr:rowOff>
    </xdr:from>
    <xdr:to>
      <xdr:col>1</xdr:col>
      <xdr:colOff>942975</xdr:colOff>
      <xdr:row>1</xdr:row>
      <xdr:rowOff>571500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42900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</xdr:row>
      <xdr:rowOff>104775</xdr:rowOff>
    </xdr:from>
    <xdr:to>
      <xdr:col>1</xdr:col>
      <xdr:colOff>704850</xdr:colOff>
      <xdr:row>1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52425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1</xdr:row>
      <xdr:rowOff>114300</xdr:rowOff>
    </xdr:from>
    <xdr:to>
      <xdr:col>6</xdr:col>
      <xdr:colOff>828675</xdr:colOff>
      <xdr:row>1</xdr:row>
      <xdr:rowOff>628650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36195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17</xdr:row>
      <xdr:rowOff>0</xdr:rowOff>
    </xdr:from>
    <xdr:to>
      <xdr:col>13</xdr:col>
      <xdr:colOff>457200</xdr:colOff>
      <xdr:row>20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7820025" y="4467225"/>
          <a:ext cx="952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457200</xdr:colOff>
      <xdr:row>20</xdr:row>
      <xdr:rowOff>180975</xdr:rowOff>
    </xdr:to>
    <xdr:sp>
      <xdr:nvSpPr>
        <xdr:cNvPr id="3" name="AutoShape 1"/>
        <xdr:cNvSpPr>
          <a:spLocks/>
        </xdr:cNvSpPr>
      </xdr:nvSpPr>
      <xdr:spPr>
        <a:xfrm>
          <a:off x="7820025" y="4467225"/>
          <a:ext cx="952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457200</xdr:colOff>
      <xdr:row>20</xdr:row>
      <xdr:rowOff>180975</xdr:rowOff>
    </xdr:to>
    <xdr:sp>
      <xdr:nvSpPr>
        <xdr:cNvPr id="4" name="AutoShape 1"/>
        <xdr:cNvSpPr>
          <a:spLocks/>
        </xdr:cNvSpPr>
      </xdr:nvSpPr>
      <xdr:spPr>
        <a:xfrm>
          <a:off x="7820025" y="4467225"/>
          <a:ext cx="952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7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8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9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10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17</xdr:row>
      <xdr:rowOff>0</xdr:rowOff>
    </xdr:from>
    <xdr:to>
      <xdr:col>13</xdr:col>
      <xdr:colOff>457200</xdr:colOff>
      <xdr:row>20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7820025" y="4467225"/>
          <a:ext cx="952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457200</xdr:colOff>
      <xdr:row>20</xdr:row>
      <xdr:rowOff>180975</xdr:rowOff>
    </xdr:to>
    <xdr:sp>
      <xdr:nvSpPr>
        <xdr:cNvPr id="3" name="AutoShape 1"/>
        <xdr:cNvSpPr>
          <a:spLocks/>
        </xdr:cNvSpPr>
      </xdr:nvSpPr>
      <xdr:spPr>
        <a:xfrm>
          <a:off x="7820025" y="4467225"/>
          <a:ext cx="952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457200</xdr:colOff>
      <xdr:row>20</xdr:row>
      <xdr:rowOff>180975</xdr:rowOff>
    </xdr:to>
    <xdr:sp>
      <xdr:nvSpPr>
        <xdr:cNvPr id="4" name="AutoShape 1"/>
        <xdr:cNvSpPr>
          <a:spLocks/>
        </xdr:cNvSpPr>
      </xdr:nvSpPr>
      <xdr:spPr>
        <a:xfrm>
          <a:off x="7820025" y="4467225"/>
          <a:ext cx="952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7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8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9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10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17</xdr:row>
      <xdr:rowOff>0</xdr:rowOff>
    </xdr:from>
    <xdr:to>
      <xdr:col>13</xdr:col>
      <xdr:colOff>457200</xdr:colOff>
      <xdr:row>20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7820025" y="4467225"/>
          <a:ext cx="952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457200</xdr:colOff>
      <xdr:row>20</xdr:row>
      <xdr:rowOff>180975</xdr:rowOff>
    </xdr:to>
    <xdr:sp>
      <xdr:nvSpPr>
        <xdr:cNvPr id="3" name="AutoShape 1"/>
        <xdr:cNvSpPr>
          <a:spLocks/>
        </xdr:cNvSpPr>
      </xdr:nvSpPr>
      <xdr:spPr>
        <a:xfrm>
          <a:off x="7820025" y="4467225"/>
          <a:ext cx="952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457200</xdr:colOff>
      <xdr:row>20</xdr:row>
      <xdr:rowOff>180975</xdr:rowOff>
    </xdr:to>
    <xdr:sp>
      <xdr:nvSpPr>
        <xdr:cNvPr id="4" name="AutoShape 1"/>
        <xdr:cNvSpPr>
          <a:spLocks/>
        </xdr:cNvSpPr>
      </xdr:nvSpPr>
      <xdr:spPr>
        <a:xfrm>
          <a:off x="7820025" y="4467225"/>
          <a:ext cx="952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7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8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9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10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17</xdr:row>
      <xdr:rowOff>0</xdr:rowOff>
    </xdr:from>
    <xdr:to>
      <xdr:col>13</xdr:col>
      <xdr:colOff>457200</xdr:colOff>
      <xdr:row>20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7820025" y="4467225"/>
          <a:ext cx="952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457200</xdr:colOff>
      <xdr:row>20</xdr:row>
      <xdr:rowOff>180975</xdr:rowOff>
    </xdr:to>
    <xdr:sp>
      <xdr:nvSpPr>
        <xdr:cNvPr id="3" name="AutoShape 1"/>
        <xdr:cNvSpPr>
          <a:spLocks/>
        </xdr:cNvSpPr>
      </xdr:nvSpPr>
      <xdr:spPr>
        <a:xfrm>
          <a:off x="7820025" y="4467225"/>
          <a:ext cx="952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457200</xdr:colOff>
      <xdr:row>20</xdr:row>
      <xdr:rowOff>180975</xdr:rowOff>
    </xdr:to>
    <xdr:sp>
      <xdr:nvSpPr>
        <xdr:cNvPr id="4" name="AutoShape 1"/>
        <xdr:cNvSpPr>
          <a:spLocks/>
        </xdr:cNvSpPr>
      </xdr:nvSpPr>
      <xdr:spPr>
        <a:xfrm>
          <a:off x="7820025" y="4467225"/>
          <a:ext cx="952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7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8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KMM1\Documents\Inngolf\InnGolf%202014\InnGolf%20Turkish%20Invitatio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E FINAL"/>
    </sheetNames>
    <sheetDataSet>
      <sheetData sheetId="0">
        <row r="10">
          <cell r="A10" t="str">
            <v>Jan Hegner</v>
          </cell>
          <cell r="B10">
            <v>12.4</v>
          </cell>
          <cell r="C10">
            <v>24</v>
          </cell>
          <cell r="D10">
            <v>29</v>
          </cell>
          <cell r="E10">
            <v>27</v>
          </cell>
          <cell r="F10">
            <v>80</v>
          </cell>
          <cell r="G10">
            <v>7</v>
          </cell>
        </row>
        <row r="11">
          <cell r="A11" t="str">
            <v>Karsten Valeur</v>
          </cell>
          <cell r="B11">
            <v>14.2</v>
          </cell>
          <cell r="C11">
            <v>26</v>
          </cell>
          <cell r="D11">
            <v>23</v>
          </cell>
          <cell r="E11">
            <v>31</v>
          </cell>
          <cell r="F11">
            <v>80</v>
          </cell>
          <cell r="G11">
            <v>8</v>
          </cell>
        </row>
        <row r="12">
          <cell r="A12" t="str">
            <v>Jesper Vohs Nielsen</v>
          </cell>
          <cell r="B12">
            <v>13.8</v>
          </cell>
          <cell r="C12">
            <v>28</v>
          </cell>
          <cell r="D12">
            <v>30</v>
          </cell>
          <cell r="E12">
            <v>20</v>
          </cell>
          <cell r="F12">
            <v>78</v>
          </cell>
          <cell r="G12">
            <v>9</v>
          </cell>
        </row>
        <row r="13">
          <cell r="A13" t="str">
            <v>Henning B. Nielsen</v>
          </cell>
          <cell r="B13">
            <v>14.6</v>
          </cell>
          <cell r="C13">
            <v>27</v>
          </cell>
          <cell r="D13">
            <v>22</v>
          </cell>
          <cell r="E13">
            <v>27</v>
          </cell>
          <cell r="F13">
            <v>76</v>
          </cell>
          <cell r="G13">
            <v>10</v>
          </cell>
        </row>
        <row r="14">
          <cell r="A14" t="str">
            <v>Morten Clausen</v>
          </cell>
          <cell r="B14">
            <v>18</v>
          </cell>
          <cell r="C14">
            <v>25</v>
          </cell>
          <cell r="D14">
            <v>22</v>
          </cell>
          <cell r="E14">
            <v>28</v>
          </cell>
          <cell r="F14">
            <v>75</v>
          </cell>
          <cell r="G14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8000"/>
    <pageSetUpPr fitToPage="1"/>
  </sheetPr>
  <dimension ref="B1:Q31"/>
  <sheetViews>
    <sheetView zoomScalePageLayoutView="0" workbookViewId="0" topLeftCell="B1">
      <selection activeCell="O15" sqref="O15:P17"/>
    </sheetView>
  </sheetViews>
  <sheetFormatPr defaultColWidth="9.140625" defaultRowHeight="12.75"/>
  <cols>
    <col min="1" max="1" width="0" style="1" hidden="1" customWidth="1"/>
    <col min="2" max="2" width="4.7109375" style="1" customWidth="1"/>
    <col min="3" max="3" width="20.28125" style="2" customWidth="1"/>
    <col min="4" max="4" width="6.8515625" style="3" customWidth="1"/>
    <col min="5" max="5" width="5.421875" style="3" customWidth="1"/>
    <col min="6" max="6" width="4.7109375" style="1" customWidth="1"/>
    <col min="7" max="7" width="20.28125" style="1" customWidth="1"/>
    <col min="8" max="8" width="12.421875" style="4" customWidth="1"/>
    <col min="9" max="9" width="5.421875" style="1" customWidth="1"/>
    <col min="10" max="10" width="4.7109375" style="1" customWidth="1"/>
    <col min="11" max="11" width="20.28125" style="1" customWidth="1"/>
    <col min="12" max="12" width="8.140625" style="5" customWidth="1"/>
    <col min="13" max="13" width="5.7109375" style="1" customWidth="1"/>
    <col min="14" max="14" width="4.7109375" style="1" customWidth="1"/>
    <col min="15" max="15" width="14.421875" style="1" customWidth="1"/>
    <col min="16" max="16" width="9.7109375" style="5" customWidth="1"/>
    <col min="17" max="16384" width="9.140625" style="1" customWidth="1"/>
  </cols>
  <sheetData>
    <row r="1" spans="2:16" ht="43.5" customHeight="1">
      <c r="B1" s="435" t="s">
        <v>254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</row>
    <row r="2" spans="2:16" s="6" customFormat="1" ht="18" customHeight="1" thickBot="1">
      <c r="B2" s="436" t="s">
        <v>0</v>
      </c>
      <c r="C2" s="437"/>
      <c r="D2" s="438"/>
      <c r="E2" s="7"/>
      <c r="F2" s="436" t="s">
        <v>1</v>
      </c>
      <c r="G2" s="437"/>
      <c r="H2" s="438"/>
      <c r="J2" s="436" t="s">
        <v>2</v>
      </c>
      <c r="K2" s="437"/>
      <c r="L2" s="438"/>
      <c r="N2" s="436" t="s">
        <v>3</v>
      </c>
      <c r="O2" s="437"/>
      <c r="P2" s="438"/>
    </row>
    <row r="3" spans="2:16" ht="18" customHeight="1">
      <c r="B3" s="262">
        <v>1</v>
      </c>
      <c r="C3" s="263" t="str">
        <f>Point!B3</f>
        <v>Jakob K</v>
      </c>
      <c r="D3" s="264">
        <f>Point!C3</f>
        <v>130</v>
      </c>
      <c r="E3" s="57"/>
      <c r="F3" s="265">
        <v>1</v>
      </c>
      <c r="G3" s="266" t="str">
        <f>Money!B3</f>
        <v>Jakob K</v>
      </c>
      <c r="H3" s="267">
        <f>Money!C3</f>
        <v>27610000</v>
      </c>
      <c r="I3" s="57"/>
      <c r="J3" s="265">
        <v>1</v>
      </c>
      <c r="K3" s="322" t="str">
        <f>Putts!B3</f>
        <v>Jakob K</v>
      </c>
      <c r="L3" s="323">
        <f>Putts!C3</f>
        <v>29.77777777777778</v>
      </c>
      <c r="M3" s="57"/>
      <c r="N3" s="265">
        <v>1</v>
      </c>
      <c r="O3" s="331" t="str">
        <f>'Tæt-flag'!B3</f>
        <v>Morten C</v>
      </c>
      <c r="P3" s="323">
        <f>'Tæt-flag'!C3</f>
        <v>0.99</v>
      </c>
    </row>
    <row r="4" spans="2:16" ht="18" customHeight="1">
      <c r="B4" s="268">
        <v>2</v>
      </c>
      <c r="C4" s="269" t="str">
        <f>Point!B4</f>
        <v>Jan H</v>
      </c>
      <c r="D4" s="270">
        <f>Point!C4</f>
        <v>101</v>
      </c>
      <c r="E4" s="57"/>
      <c r="F4" s="271">
        <v>2</v>
      </c>
      <c r="G4" s="272" t="str">
        <f>Money!B4</f>
        <v>Jan H</v>
      </c>
      <c r="H4" s="273">
        <f>Money!C4</f>
        <v>20430000</v>
      </c>
      <c r="I4" s="57"/>
      <c r="J4" s="271">
        <v>2</v>
      </c>
      <c r="K4" s="324" t="str">
        <f>Putts!B4</f>
        <v>Karsten V</v>
      </c>
      <c r="L4" s="325">
        <f>Putts!C4</f>
        <v>30.5</v>
      </c>
      <c r="M4" s="57"/>
      <c r="N4" s="271">
        <v>2</v>
      </c>
      <c r="O4" s="339" t="str">
        <f>'Tæt-flag'!B4</f>
        <v>Carsten L</v>
      </c>
      <c r="P4" s="325">
        <f>'Tæt-flag'!C4</f>
        <v>1.46</v>
      </c>
    </row>
    <row r="5" spans="2:16" ht="18" customHeight="1" thickBot="1">
      <c r="B5" s="274">
        <v>3</v>
      </c>
      <c r="C5" s="275" t="str">
        <f>Point!B5</f>
        <v>Robin T</v>
      </c>
      <c r="D5" s="276">
        <f>Point!C5</f>
        <v>93</v>
      </c>
      <c r="E5" s="57"/>
      <c r="F5" s="277">
        <v>3</v>
      </c>
      <c r="G5" s="278" t="str">
        <f>Money!B5</f>
        <v>Karsten V</v>
      </c>
      <c r="H5" s="279">
        <f>Money!C5</f>
        <v>16500000</v>
      </c>
      <c r="I5" s="57"/>
      <c r="J5" s="277">
        <v>3</v>
      </c>
      <c r="K5" s="326" t="str">
        <f>Putts!B5</f>
        <v>Jan H</v>
      </c>
      <c r="L5" s="327">
        <f>Putts!C5</f>
        <v>31.11111111111111</v>
      </c>
      <c r="M5" s="57"/>
      <c r="N5" s="277">
        <v>3</v>
      </c>
      <c r="O5" s="340" t="str">
        <f>'Tæt-flag'!B5</f>
        <v>Carsten D</v>
      </c>
      <c r="P5" s="327">
        <f>'Tæt-flag'!C5</f>
        <v>1.56</v>
      </c>
    </row>
    <row r="6" spans="2:16" ht="18" customHeight="1">
      <c r="B6" s="280">
        <v>4</v>
      </c>
      <c r="C6" s="281" t="str">
        <f>Point!B6</f>
        <v>Jesper VN</v>
      </c>
      <c r="D6" s="282">
        <f>Point!C6</f>
        <v>87</v>
      </c>
      <c r="E6" s="57"/>
      <c r="F6" s="283">
        <v>4</v>
      </c>
      <c r="G6" s="284" t="str">
        <f>Money!B6</f>
        <v>Jesper VN</v>
      </c>
      <c r="H6" s="285">
        <f>Money!C6</f>
        <v>16110000</v>
      </c>
      <c r="I6" s="57"/>
      <c r="J6" s="283">
        <v>4</v>
      </c>
      <c r="K6" s="328" t="str">
        <f>Putts!B6</f>
        <v>Robin T</v>
      </c>
      <c r="L6" s="329">
        <f>Putts!C6</f>
        <v>31.555555555555557</v>
      </c>
      <c r="M6" s="57"/>
      <c r="N6" s="283">
        <v>4</v>
      </c>
      <c r="O6" s="341" t="str">
        <f>'Tæt-flag'!B6</f>
        <v>Karsten V</v>
      </c>
      <c r="P6" s="329">
        <f>'Tæt-flag'!C6</f>
        <v>1.62</v>
      </c>
    </row>
    <row r="7" spans="2:16" ht="18" customHeight="1">
      <c r="B7" s="286">
        <v>5</v>
      </c>
      <c r="C7" s="281" t="str">
        <f>Point!B7</f>
        <v>Karsten V</v>
      </c>
      <c r="D7" s="282">
        <f>Point!C7</f>
        <v>84</v>
      </c>
      <c r="E7" s="57"/>
      <c r="F7" s="287">
        <v>5</v>
      </c>
      <c r="G7" s="284" t="str">
        <f>Money!B7</f>
        <v>Robin T</v>
      </c>
      <c r="H7" s="285">
        <f>Money!C7</f>
        <v>17130000</v>
      </c>
      <c r="I7" s="57"/>
      <c r="J7" s="287">
        <v>5</v>
      </c>
      <c r="K7" s="324" t="str">
        <f>Putts!B7</f>
        <v>Erik P</v>
      </c>
      <c r="L7" s="330">
        <f>Putts!C7</f>
        <v>32.05555555555556</v>
      </c>
      <c r="M7" s="57"/>
      <c r="N7" s="287">
        <v>5</v>
      </c>
      <c r="O7" s="339" t="str">
        <f>'Tæt-flag'!B7</f>
        <v>John S</v>
      </c>
      <c r="P7" s="330">
        <f>'Tæt-flag'!C7</f>
        <v>1.67</v>
      </c>
    </row>
    <row r="8" spans="2:16" ht="18" customHeight="1">
      <c r="B8" s="286">
        <v>6</v>
      </c>
      <c r="C8" s="281" t="str">
        <f>Point!B8</f>
        <v>Steen N</v>
      </c>
      <c r="D8" s="282">
        <f>Point!C8</f>
        <v>78</v>
      </c>
      <c r="E8" s="57"/>
      <c r="F8" s="287">
        <v>6</v>
      </c>
      <c r="G8" s="284" t="str">
        <f>Money!B8</f>
        <v>Morten C</v>
      </c>
      <c r="H8" s="285">
        <f>Money!C8</f>
        <v>14890000</v>
      </c>
      <c r="I8" s="57"/>
      <c r="J8" s="287">
        <v>6</v>
      </c>
      <c r="K8" s="328" t="str">
        <f>Putts!B8</f>
        <v>Børge H</v>
      </c>
      <c r="L8" s="329">
        <f>Putts!C8</f>
        <v>32.22222222222222</v>
      </c>
      <c r="M8" s="57"/>
      <c r="N8" s="287">
        <v>6</v>
      </c>
      <c r="O8" s="339" t="str">
        <f>'Tæt-flag'!B8</f>
        <v>Jan H</v>
      </c>
      <c r="P8" s="330">
        <f>'Tæt-flag'!C8</f>
        <v>1.82</v>
      </c>
    </row>
    <row r="9" spans="2:16" ht="18" customHeight="1">
      <c r="B9" s="286">
        <v>7</v>
      </c>
      <c r="C9" s="281" t="str">
        <f>Point!B9</f>
        <v>Morten C</v>
      </c>
      <c r="D9" s="282">
        <f>Point!C9</f>
        <v>74</v>
      </c>
      <c r="E9" s="57"/>
      <c r="F9" s="287">
        <v>7</v>
      </c>
      <c r="G9" s="284" t="str">
        <f>Money!B9</f>
        <v>Steen N</v>
      </c>
      <c r="H9" s="285">
        <f>Money!C9</f>
        <v>13250000</v>
      </c>
      <c r="I9" s="57"/>
      <c r="J9" s="287">
        <v>7</v>
      </c>
      <c r="K9" s="324" t="str">
        <f>Putts!B9</f>
        <v>Steen N</v>
      </c>
      <c r="L9" s="330">
        <f>Putts!C9</f>
        <v>32.666666666666664</v>
      </c>
      <c r="M9" s="57"/>
      <c r="N9" s="287">
        <v>7</v>
      </c>
      <c r="O9" s="339" t="str">
        <f>'Tæt-flag'!B9</f>
        <v>Erik P</v>
      </c>
      <c r="P9" s="330">
        <f>'Tæt-flag'!C9</f>
        <v>1.93</v>
      </c>
    </row>
    <row r="10" spans="2:16" ht="18" customHeight="1">
      <c r="B10" s="286">
        <v>8</v>
      </c>
      <c r="C10" s="281" t="str">
        <f>Point!B10</f>
        <v>Carsten D</v>
      </c>
      <c r="D10" s="282">
        <f>Point!C10</f>
        <v>73</v>
      </c>
      <c r="E10" s="57"/>
      <c r="F10" s="287">
        <v>8</v>
      </c>
      <c r="G10" s="284" t="str">
        <f>Money!B10</f>
        <v>Carsten D</v>
      </c>
      <c r="H10" s="285">
        <f>Money!C10</f>
        <v>15220000</v>
      </c>
      <c r="I10" s="57"/>
      <c r="J10" s="287">
        <v>8</v>
      </c>
      <c r="K10" s="328" t="str">
        <f>Putts!B10</f>
        <v>Carsten D</v>
      </c>
      <c r="L10" s="329">
        <f>Putts!C10</f>
        <v>32.666666666666664</v>
      </c>
      <c r="M10" s="57"/>
      <c r="N10" s="287">
        <v>8</v>
      </c>
      <c r="O10" s="339" t="str">
        <f>'Tæt-flag'!B10</f>
        <v>Jakob K</v>
      </c>
      <c r="P10" s="330">
        <f>'Tæt-flag'!C10</f>
        <v>2.18</v>
      </c>
    </row>
    <row r="11" spans="2:16" ht="18" customHeight="1">
      <c r="B11" s="286">
        <v>9</v>
      </c>
      <c r="C11" s="281" t="str">
        <f>Point!B11</f>
        <v>Carsten L</v>
      </c>
      <c r="D11" s="282">
        <f>Point!C11</f>
        <v>57</v>
      </c>
      <c r="E11" s="57"/>
      <c r="F11" s="287">
        <v>9</v>
      </c>
      <c r="G11" s="284" t="str">
        <f>Money!B11</f>
        <v>Ole M</v>
      </c>
      <c r="H11" s="285">
        <f>Money!C11</f>
        <v>10450000</v>
      </c>
      <c r="I11" s="57"/>
      <c r="J11" s="287">
        <v>9</v>
      </c>
      <c r="K11" s="324" t="str">
        <f>Putts!B11</f>
        <v>Hans MV</v>
      </c>
      <c r="L11" s="330">
        <f>Putts!C11</f>
        <v>32.888888888888886</v>
      </c>
      <c r="M11" s="57"/>
      <c r="N11" s="287">
        <v>9</v>
      </c>
      <c r="O11" s="339" t="str">
        <f>'Tæt-flag'!B11</f>
        <v>Jakob K</v>
      </c>
      <c r="P11" s="330">
        <f>'Tæt-flag'!C11</f>
        <v>2.23</v>
      </c>
    </row>
    <row r="12" spans="2:16" ht="18" customHeight="1">
      <c r="B12" s="286">
        <v>10</v>
      </c>
      <c r="C12" s="281" t="str">
        <f>Point!B12</f>
        <v>Børge H</v>
      </c>
      <c r="D12" s="282">
        <f>Point!C12</f>
        <v>52</v>
      </c>
      <c r="E12" s="57"/>
      <c r="F12" s="287">
        <v>10</v>
      </c>
      <c r="G12" s="284" t="str">
        <f>Money!B12</f>
        <v>Carsten L</v>
      </c>
      <c r="H12" s="285">
        <f>Money!C12</f>
        <v>10060000</v>
      </c>
      <c r="I12" s="57"/>
      <c r="J12" s="287">
        <v>10</v>
      </c>
      <c r="K12" s="328" t="str">
        <f>Putts!B12</f>
        <v>Kristian D</v>
      </c>
      <c r="L12" s="329">
        <f>Putts!C12</f>
        <v>33.22222222222222</v>
      </c>
      <c r="M12" s="57"/>
      <c r="N12" s="287">
        <v>10</v>
      </c>
      <c r="O12" s="339" t="str">
        <f>'Tæt-flag'!B12</f>
        <v>Robin T</v>
      </c>
      <c r="P12" s="330">
        <f>'Tæt-flag'!C12</f>
        <v>2.47</v>
      </c>
    </row>
    <row r="13" spans="2:16" ht="18" customHeight="1">
      <c r="B13" s="286">
        <v>11</v>
      </c>
      <c r="C13" s="281" t="str">
        <f>Point!B13</f>
        <v>Ole M</v>
      </c>
      <c r="D13" s="282">
        <f>Point!C13</f>
        <v>50</v>
      </c>
      <c r="E13" s="57"/>
      <c r="F13" s="287">
        <v>11</v>
      </c>
      <c r="G13" s="284" t="str">
        <f>Money!B13</f>
        <v>Erik P</v>
      </c>
      <c r="H13" s="285">
        <f>Money!C13</f>
        <v>9830000</v>
      </c>
      <c r="I13" s="57"/>
      <c r="J13" s="287">
        <v>11</v>
      </c>
      <c r="K13" s="324" t="str">
        <f>Putts!B13</f>
        <v>Jesper VN</v>
      </c>
      <c r="L13" s="330">
        <f>Putts!C13</f>
        <v>33.44444444444444</v>
      </c>
      <c r="M13" s="57"/>
      <c r="N13" s="288"/>
      <c r="O13" s="289"/>
      <c r="P13" s="290"/>
    </row>
    <row r="14" spans="2:16" ht="18" customHeight="1">
      <c r="B14" s="286">
        <v>12</v>
      </c>
      <c r="C14" s="281" t="str">
        <f>Point!B14</f>
        <v>John S</v>
      </c>
      <c r="D14" s="282">
        <f>Point!C14</f>
        <v>46</v>
      </c>
      <c r="E14" s="57"/>
      <c r="F14" s="287">
        <v>12</v>
      </c>
      <c r="G14" s="284" t="str">
        <f>Money!B14</f>
        <v>Børge H</v>
      </c>
      <c r="H14" s="285">
        <f>Money!C14</f>
        <v>9740000</v>
      </c>
      <c r="I14" s="57"/>
      <c r="J14" s="287">
        <v>12</v>
      </c>
      <c r="K14" s="328" t="str">
        <f>Putts!B14</f>
        <v>Morten C</v>
      </c>
      <c r="L14" s="329">
        <f>Putts!C14</f>
        <v>33.77777777777778</v>
      </c>
      <c r="M14" s="57"/>
      <c r="N14" s="439" t="s">
        <v>4</v>
      </c>
      <c r="O14" s="440"/>
      <c r="P14" s="441"/>
    </row>
    <row r="15" spans="2:16" ht="18" customHeight="1">
      <c r="B15" s="286">
        <v>13</v>
      </c>
      <c r="C15" s="281" t="str">
        <f>Point!B15</f>
        <v>Hans MV</v>
      </c>
      <c r="D15" s="282">
        <f>Point!C15</f>
        <v>39</v>
      </c>
      <c r="E15" s="57"/>
      <c r="F15" s="287">
        <v>13</v>
      </c>
      <c r="G15" s="284" t="str">
        <f>Money!B15</f>
        <v>Kristian D</v>
      </c>
      <c r="H15" s="285">
        <f>Money!C15</f>
        <v>10730000</v>
      </c>
      <c r="I15" s="57"/>
      <c r="J15" s="287">
        <v>13</v>
      </c>
      <c r="K15" s="324" t="str">
        <f>Putts!B15</f>
        <v>Carsten L</v>
      </c>
      <c r="L15" s="330">
        <f>Putts!C15</f>
        <v>33.888888888888886</v>
      </c>
      <c r="M15" s="57"/>
      <c r="N15" s="291">
        <v>1</v>
      </c>
      <c r="O15" s="347" t="str">
        <f>'Tæt-flag'!G3</f>
        <v>Carsten D</v>
      </c>
      <c r="P15" s="464" t="str">
        <f>'Tæt-flag'!H3</f>
        <v>Finale</v>
      </c>
    </row>
    <row r="16" spans="2:16" ht="18" customHeight="1">
      <c r="B16" s="286">
        <v>14</v>
      </c>
      <c r="C16" s="281" t="str">
        <f>Point!B16</f>
        <v>Kristian D</v>
      </c>
      <c r="D16" s="282">
        <f>Point!C16</f>
        <v>39</v>
      </c>
      <c r="E16" s="57"/>
      <c r="F16" s="287">
        <v>14</v>
      </c>
      <c r="G16" s="284" t="str">
        <f>Money!B16</f>
        <v>John S</v>
      </c>
      <c r="H16" s="285">
        <f>Money!C16</f>
        <v>9300000</v>
      </c>
      <c r="I16" s="57"/>
      <c r="J16" s="287">
        <v>14</v>
      </c>
      <c r="K16" s="328" t="str">
        <f>Putts!B16</f>
        <v>Ole M</v>
      </c>
      <c r="L16" s="329">
        <f>Putts!C16</f>
        <v>34.22222222222222</v>
      </c>
      <c r="M16" s="57"/>
      <c r="N16" s="292">
        <v>2</v>
      </c>
      <c r="O16" s="359" t="str">
        <f>'Tæt-flag'!G4</f>
        <v>Per N</v>
      </c>
      <c r="P16" s="330" t="str">
        <f>'Tæt-flag'!H4</f>
        <v>Tyskland</v>
      </c>
    </row>
    <row r="17" spans="2:16" ht="18" customHeight="1">
      <c r="B17" s="286">
        <v>15</v>
      </c>
      <c r="C17" s="281" t="str">
        <f>Point!B17</f>
        <v>Erik P</v>
      </c>
      <c r="D17" s="282">
        <f>Point!C17</f>
        <v>37</v>
      </c>
      <c r="E17" s="57"/>
      <c r="F17" s="287">
        <v>15</v>
      </c>
      <c r="G17" s="284" t="str">
        <f>Money!B17</f>
        <v>Hans MV</v>
      </c>
      <c r="H17" s="285">
        <f>Money!C17</f>
        <v>8090000</v>
      </c>
      <c r="I17" s="57"/>
      <c r="J17" s="287">
        <v>15</v>
      </c>
      <c r="K17" s="324" t="str">
        <f>Putts!B17</f>
        <v>Torben J</v>
      </c>
      <c r="L17" s="330">
        <f>Putts!C17</f>
        <v>34.44444444444444</v>
      </c>
      <c r="M17" s="57"/>
      <c r="N17" s="292">
        <v>3</v>
      </c>
      <c r="O17" s="359" t="str">
        <f>'Tæt-flag'!G5</f>
        <v>Jan H</v>
      </c>
      <c r="P17" s="330" t="str">
        <f>'Tæt-flag'!H5</f>
        <v>Fanø GL</v>
      </c>
    </row>
    <row r="18" spans="2:16" ht="18" customHeight="1">
      <c r="B18" s="286">
        <v>16</v>
      </c>
      <c r="C18" s="281" t="str">
        <f>Point!B18</f>
        <v>Martin A</v>
      </c>
      <c r="D18" s="282">
        <f>Point!C18</f>
        <v>36</v>
      </c>
      <c r="E18" s="57"/>
      <c r="F18" s="287">
        <v>16</v>
      </c>
      <c r="G18" s="284" t="str">
        <f>Money!B18</f>
        <v>Henning V</v>
      </c>
      <c r="H18" s="285">
        <f>Money!C18</f>
        <v>6820000</v>
      </c>
      <c r="I18" s="57"/>
      <c r="J18" s="287">
        <v>16</v>
      </c>
      <c r="K18" s="328" t="str">
        <f>Putts!B18</f>
        <v>John S</v>
      </c>
      <c r="L18" s="329">
        <f>Putts!C18</f>
        <v>35.05555555555556</v>
      </c>
      <c r="M18" s="57"/>
      <c r="N18" s="57"/>
      <c r="O18" s="57"/>
      <c r="P18" s="57"/>
    </row>
    <row r="19" spans="2:16" ht="18" customHeight="1">
      <c r="B19" s="286">
        <v>17</v>
      </c>
      <c r="C19" s="281" t="str">
        <f>Point!B19</f>
        <v>Henning V</v>
      </c>
      <c r="D19" s="282">
        <f>Point!C19</f>
        <v>31</v>
      </c>
      <c r="E19" s="57"/>
      <c r="F19" s="287">
        <v>17</v>
      </c>
      <c r="G19" s="284" t="str">
        <f>Money!B19</f>
        <v>Martin A</v>
      </c>
      <c r="H19" s="285">
        <f>Money!C19</f>
        <v>6480000</v>
      </c>
      <c r="I19" s="57"/>
      <c r="J19" s="287">
        <v>17</v>
      </c>
      <c r="K19" s="324" t="str">
        <f>Putts!B19</f>
        <v>Finn EC</v>
      </c>
      <c r="L19" s="330">
        <f>Putts!C19</f>
        <v>35.111111111111114</v>
      </c>
      <c r="M19" s="57"/>
      <c r="N19" s="288"/>
      <c r="O19" s="289"/>
      <c r="P19" s="290"/>
    </row>
    <row r="20" spans="2:16" ht="18" customHeight="1">
      <c r="B20" s="286">
        <v>18</v>
      </c>
      <c r="C20" s="281" t="str">
        <f>Point!B20</f>
        <v>Per N</v>
      </c>
      <c r="D20" s="282">
        <f>Point!C20</f>
        <v>28</v>
      </c>
      <c r="E20" s="57"/>
      <c r="F20" s="287">
        <v>18</v>
      </c>
      <c r="G20" s="284" t="str">
        <f>Money!B20</f>
        <v>Per N</v>
      </c>
      <c r="H20" s="285">
        <f>Money!C20</f>
        <v>5950000</v>
      </c>
      <c r="I20" s="57"/>
      <c r="J20" s="287">
        <v>18</v>
      </c>
      <c r="K20" s="328" t="str">
        <f>Putts!B20</f>
        <v>Jens L</v>
      </c>
      <c r="L20" s="329">
        <f>Putts!C20</f>
        <v>35.611111111111114</v>
      </c>
      <c r="M20" s="57"/>
      <c r="N20" s="288"/>
      <c r="O20" s="289"/>
      <c r="P20" s="290"/>
    </row>
    <row r="21" spans="2:16" ht="18" customHeight="1">
      <c r="B21" s="286">
        <v>19</v>
      </c>
      <c r="C21" s="281" t="str">
        <f>Point!B21</f>
        <v>Torben J</v>
      </c>
      <c r="D21" s="282">
        <f>Point!C21</f>
        <v>27</v>
      </c>
      <c r="E21" s="57"/>
      <c r="F21" s="287">
        <v>19</v>
      </c>
      <c r="G21" s="284" t="str">
        <f>Money!B21</f>
        <v>Bo H</v>
      </c>
      <c r="H21" s="285">
        <f>Money!C21</f>
        <v>5480000</v>
      </c>
      <c r="I21" s="57"/>
      <c r="J21" s="287">
        <v>19</v>
      </c>
      <c r="K21" s="324" t="str">
        <f>Putts!B21</f>
        <v>Henning V</v>
      </c>
      <c r="L21" s="330">
        <f>Putts!C21</f>
        <v>36</v>
      </c>
      <c r="M21" s="57"/>
      <c r="N21" s="161"/>
      <c r="O21" s="161"/>
      <c r="P21" s="161"/>
    </row>
    <row r="22" spans="2:16" ht="18" customHeight="1">
      <c r="B22" s="286">
        <v>20</v>
      </c>
      <c r="C22" s="281" t="str">
        <f>Point!B22</f>
        <v>Jens L</v>
      </c>
      <c r="D22" s="282">
        <f>Point!C22</f>
        <v>27</v>
      </c>
      <c r="E22" s="57"/>
      <c r="F22" s="287">
        <v>20</v>
      </c>
      <c r="G22" s="284" t="str">
        <f>Money!B22</f>
        <v>Torben J</v>
      </c>
      <c r="H22" s="285">
        <f>Money!C22</f>
        <v>5390000</v>
      </c>
      <c r="I22" s="57"/>
      <c r="J22" s="287">
        <v>20</v>
      </c>
      <c r="K22" s="328" t="str">
        <f>Putts!B22</f>
        <v>Henning B</v>
      </c>
      <c r="L22" s="329">
        <f>Putts!C22</f>
        <v>36.111111111111114</v>
      </c>
      <c r="M22" s="57"/>
      <c r="N22" s="293"/>
      <c r="O22" s="294"/>
      <c r="P22" s="295"/>
    </row>
    <row r="23" spans="2:16" ht="18" customHeight="1">
      <c r="B23" s="286">
        <v>21</v>
      </c>
      <c r="C23" s="281" t="str">
        <f>Point!B23</f>
        <v>Bo H</v>
      </c>
      <c r="D23" s="282">
        <f>Point!C23</f>
        <v>25</v>
      </c>
      <c r="E23" s="57"/>
      <c r="F23" s="287">
        <v>21</v>
      </c>
      <c r="G23" s="284" t="str">
        <f>Money!B23</f>
        <v>Jens L</v>
      </c>
      <c r="H23" s="285">
        <f>Money!C23</f>
        <v>5050000</v>
      </c>
      <c r="I23" s="57"/>
      <c r="J23" s="287">
        <v>21</v>
      </c>
      <c r="K23" s="324" t="str">
        <f>Putts!B23</f>
        <v>Martin A</v>
      </c>
      <c r="L23" s="330">
        <f>Putts!C23</f>
        <v>36.27777777777778</v>
      </c>
      <c r="M23" s="57"/>
      <c r="N23" s="293"/>
      <c r="O23" s="294"/>
      <c r="P23" s="295"/>
    </row>
    <row r="24" spans="2:16" ht="18" customHeight="1">
      <c r="B24" s="286">
        <v>22</v>
      </c>
      <c r="C24" s="281" t="str">
        <f>Point!B24</f>
        <v>Thorkild J</v>
      </c>
      <c r="D24" s="282">
        <f>Point!C24</f>
        <v>18</v>
      </c>
      <c r="E24" s="57"/>
      <c r="F24" s="287">
        <v>22</v>
      </c>
      <c r="G24" s="284" t="str">
        <f>Money!B24</f>
        <v>Thorkild J</v>
      </c>
      <c r="H24" s="285">
        <f>Money!C24</f>
        <v>3410000</v>
      </c>
      <c r="I24" s="57"/>
      <c r="J24" s="287">
        <v>22</v>
      </c>
      <c r="K24" s="328" t="str">
        <f>Putts!B24</f>
        <v>Bo H</v>
      </c>
      <c r="L24" s="329">
        <f>Putts!C24</f>
        <v>36.333333333333336</v>
      </c>
      <c r="M24" s="57"/>
      <c r="N24" s="293"/>
      <c r="O24" s="294"/>
      <c r="P24" s="295"/>
    </row>
    <row r="25" spans="2:16" ht="18" customHeight="1">
      <c r="B25" s="286">
        <v>23</v>
      </c>
      <c r="C25" s="281" t="str">
        <f>Point!B25</f>
        <v>Claus J</v>
      </c>
      <c r="D25" s="282">
        <f>Point!C25</f>
        <v>16</v>
      </c>
      <c r="E25" s="57"/>
      <c r="F25" s="287">
        <v>23</v>
      </c>
      <c r="G25" s="284" t="str">
        <f>Money!B25</f>
        <v>Claus J</v>
      </c>
      <c r="H25" s="285">
        <f>Money!C25</f>
        <v>3180000</v>
      </c>
      <c r="I25" s="57"/>
      <c r="J25" s="287">
        <v>23</v>
      </c>
      <c r="K25" s="324" t="str">
        <f>Putts!B25</f>
        <v>Thorkild J</v>
      </c>
      <c r="L25" s="330">
        <f>Putts!C25</f>
        <v>36.55555555555556</v>
      </c>
      <c r="M25" s="57"/>
      <c r="N25" s="293"/>
      <c r="O25" s="294"/>
      <c r="P25" s="295"/>
    </row>
    <row r="26" spans="2:16" ht="18" customHeight="1">
      <c r="B26" s="286">
        <v>24</v>
      </c>
      <c r="C26" s="281" t="str">
        <f>Point!B26</f>
        <v>Henning B</v>
      </c>
      <c r="D26" s="282">
        <f>Point!C26</f>
        <v>15</v>
      </c>
      <c r="E26" s="57"/>
      <c r="F26" s="287">
        <v>24</v>
      </c>
      <c r="G26" s="284" t="str">
        <f>Money!B26</f>
        <v>Henning B</v>
      </c>
      <c r="H26" s="285">
        <f>Money!C26</f>
        <v>3090000</v>
      </c>
      <c r="I26" s="57"/>
      <c r="J26" s="287">
        <v>24</v>
      </c>
      <c r="K26" s="328" t="str">
        <f>Putts!B26</f>
        <v>Claus J</v>
      </c>
      <c r="L26" s="329">
        <f>Putts!C26</f>
        <v>37.333333333333336</v>
      </c>
      <c r="M26" s="57"/>
      <c r="N26" s="293"/>
      <c r="O26" s="294"/>
      <c r="P26" s="295"/>
    </row>
    <row r="27" spans="2:17" s="9" customFormat="1" ht="18" customHeight="1">
      <c r="B27" s="286">
        <v>25</v>
      </c>
      <c r="C27" s="281" t="str">
        <f>Point!B27</f>
        <v>Finn EC</v>
      </c>
      <c r="D27" s="282">
        <f>Point!C27</f>
        <v>14</v>
      </c>
      <c r="E27" s="57"/>
      <c r="F27" s="287">
        <v>25</v>
      </c>
      <c r="G27" s="284" t="str">
        <f>Money!B27</f>
        <v>Finn EC</v>
      </c>
      <c r="H27" s="285">
        <f>Money!C27</f>
        <v>2930000</v>
      </c>
      <c r="I27" s="57"/>
      <c r="J27" s="287">
        <v>25</v>
      </c>
      <c r="K27" s="324" t="str">
        <f>Putts!B27</f>
        <v>Per N</v>
      </c>
      <c r="L27" s="330">
        <f>Putts!C27</f>
        <v>37.388888888888886</v>
      </c>
      <c r="M27" s="57"/>
      <c r="N27" s="293"/>
      <c r="O27" s="294"/>
      <c r="P27" s="295"/>
      <c r="Q27" s="1"/>
    </row>
    <row r="28" ht="18" customHeight="1">
      <c r="C28" s="1"/>
    </row>
    <row r="29" spans="2:16" ht="13.5">
      <c r="B29" s="426" t="s">
        <v>5</v>
      </c>
      <c r="C29" s="427"/>
      <c r="D29" s="427"/>
      <c r="E29" s="427"/>
      <c r="F29" s="427"/>
      <c r="G29" s="427"/>
      <c r="H29" s="427"/>
      <c r="I29" s="427"/>
      <c r="J29" s="427"/>
      <c r="K29" s="427"/>
      <c r="L29" s="427"/>
      <c r="M29" s="427"/>
      <c r="N29" s="427"/>
      <c r="O29" s="427"/>
      <c r="P29" s="428"/>
    </row>
    <row r="30" spans="2:16" ht="13.5">
      <c r="B30" s="429" t="s">
        <v>147</v>
      </c>
      <c r="C30" s="430"/>
      <c r="D30" s="430"/>
      <c r="E30" s="430"/>
      <c r="F30" s="430"/>
      <c r="G30" s="430"/>
      <c r="H30" s="430"/>
      <c r="I30" s="430"/>
      <c r="J30" s="430"/>
      <c r="K30" s="430"/>
      <c r="L30" s="430"/>
      <c r="M30" s="430"/>
      <c r="N30" s="430"/>
      <c r="O30" s="430"/>
      <c r="P30" s="431"/>
    </row>
    <row r="31" spans="2:16" ht="13.5">
      <c r="B31" s="432" t="s">
        <v>158</v>
      </c>
      <c r="C31" s="433"/>
      <c r="D31" s="433"/>
      <c r="E31" s="433"/>
      <c r="F31" s="433"/>
      <c r="G31" s="433"/>
      <c r="H31" s="433"/>
      <c r="I31" s="433"/>
      <c r="J31" s="433"/>
      <c r="K31" s="433"/>
      <c r="L31" s="433"/>
      <c r="M31" s="433"/>
      <c r="N31" s="433"/>
      <c r="O31" s="433"/>
      <c r="P31" s="434"/>
    </row>
  </sheetData>
  <sheetProtection selectLockedCells="1" selectUnlockedCells="1"/>
  <mergeCells count="9">
    <mergeCell ref="B29:P29"/>
    <mergeCell ref="B30:P30"/>
    <mergeCell ref="B31:P31"/>
    <mergeCell ref="B1:P1"/>
    <mergeCell ref="B2:D2"/>
    <mergeCell ref="F2:H2"/>
    <mergeCell ref="J2:L2"/>
    <mergeCell ref="N2:P2"/>
    <mergeCell ref="N14:P14"/>
  </mergeCells>
  <printOptions horizontalCentered="1" verticalCentered="1"/>
  <pageMargins left="0.43000000000000005" right="0.43000000000000005" top="0.55" bottom="0.55" header="0.51" footer="0.51"/>
  <pageSetup fitToHeight="1" fitToWidth="1" horizontalDpi="300" verticalDpi="300" orientation="landscape" paperSize="9" scale="87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PageLayoutView="0" workbookViewId="0" topLeftCell="A1">
      <selection activeCell="A1" sqref="A1:N28"/>
    </sheetView>
  </sheetViews>
  <sheetFormatPr defaultColWidth="9.140625" defaultRowHeight="12.75"/>
  <cols>
    <col min="1" max="1" width="25.140625" style="54" customWidth="1"/>
    <col min="2" max="2" width="7.8515625" style="55" customWidth="1"/>
    <col min="3" max="3" width="8.421875" style="56" customWidth="1"/>
    <col min="4" max="4" width="6.8515625" style="55" customWidth="1"/>
    <col min="5" max="5" width="8.140625" style="55" customWidth="1"/>
    <col min="6" max="6" width="10.140625" style="55" customWidth="1"/>
    <col min="7" max="7" width="9.140625" style="55" customWidth="1"/>
    <col min="8" max="8" width="13.421875" style="55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" width="9.140625" style="8" customWidth="1"/>
    <col min="17" max="17" width="10.421875" style="8" customWidth="1"/>
    <col min="18" max="16384" width="9.140625" style="8" customWidth="1"/>
  </cols>
  <sheetData>
    <row r="1" spans="2:14" s="57" customFormat="1" ht="43.5" customHeight="1">
      <c r="B1" s="435" t="s">
        <v>168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</row>
    <row r="2" spans="2:17" s="57" customFormat="1" ht="29.25" customHeight="1">
      <c r="B2" s="444" t="s">
        <v>288</v>
      </c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P2" s="110" t="s">
        <v>97</v>
      </c>
      <c r="Q2" s="110" t="s">
        <v>98</v>
      </c>
    </row>
    <row r="3" spans="1:17" s="70" customFormat="1" ht="27" customHeight="1">
      <c r="A3" s="360" t="s">
        <v>77</v>
      </c>
      <c r="B3" s="308" t="s">
        <v>78</v>
      </c>
      <c r="C3" s="308" t="s">
        <v>79</v>
      </c>
      <c r="D3" s="60" t="s">
        <v>80</v>
      </c>
      <c r="E3" s="60" t="s">
        <v>81</v>
      </c>
      <c r="F3" s="61" t="s">
        <v>82</v>
      </c>
      <c r="G3" s="62" t="s">
        <v>83</v>
      </c>
      <c r="H3" s="63" t="s">
        <v>84</v>
      </c>
      <c r="I3" s="64"/>
      <c r="J3" s="65" t="s">
        <v>82</v>
      </c>
      <c r="K3" s="66"/>
      <c r="L3" s="67"/>
      <c r="M3" s="68" t="s">
        <v>83</v>
      </c>
      <c r="N3" s="69" t="s">
        <v>85</v>
      </c>
      <c r="P3" s="111">
        <v>16</v>
      </c>
      <c r="Q3" s="58" t="s">
        <v>76</v>
      </c>
    </row>
    <row r="4" spans="1:17" s="81" customFormat="1" ht="18" customHeight="1">
      <c r="A4" s="378" t="s">
        <v>52</v>
      </c>
      <c r="B4" s="247">
        <v>11.7</v>
      </c>
      <c r="C4" s="361">
        <v>37</v>
      </c>
      <c r="D4" s="306">
        <v>30</v>
      </c>
      <c r="E4" s="74"/>
      <c r="F4" s="72">
        <v>1</v>
      </c>
      <c r="G4" s="72">
        <v>10</v>
      </c>
      <c r="H4" s="75">
        <f aca="true" t="shared" si="0" ref="H4:H11">N4+I4</f>
        <v>1800000</v>
      </c>
      <c r="I4" s="76">
        <f aca="true" t="shared" si="1" ref="I4:I11">IF(E4&gt;0,$N$13,0)+IF(C4&gt;0,50000,0)+IF(C12&lt;0,50000,0)</f>
        <v>50000</v>
      </c>
      <c r="J4" s="77" t="s">
        <v>86</v>
      </c>
      <c r="K4" s="78"/>
      <c r="L4" s="79"/>
      <c r="M4" s="80">
        <v>10</v>
      </c>
      <c r="N4" s="75">
        <f>N12*25%</f>
        <v>1750000</v>
      </c>
      <c r="P4" s="71">
        <v>16</v>
      </c>
      <c r="Q4" s="58">
        <f>ROUND(P4*18/P3,0)</f>
        <v>18</v>
      </c>
    </row>
    <row r="5" spans="1:17" s="81" customFormat="1" ht="18" customHeight="1">
      <c r="A5" s="378" t="s">
        <v>42</v>
      </c>
      <c r="B5" s="247">
        <v>18.2</v>
      </c>
      <c r="C5" s="361">
        <v>37</v>
      </c>
      <c r="D5" s="306">
        <v>33</v>
      </c>
      <c r="E5" s="74"/>
      <c r="F5" s="72">
        <v>2</v>
      </c>
      <c r="G5" s="72">
        <v>8</v>
      </c>
      <c r="H5" s="75">
        <f t="shared" si="0"/>
        <v>1450000</v>
      </c>
      <c r="I5" s="76">
        <f>IF(E5&gt;0,$N$13,0)+IF(C5&gt;0,50000,0)+IF(C13&lt;0,50000,0)</f>
        <v>50000</v>
      </c>
      <c r="J5" s="82" t="s">
        <v>87</v>
      </c>
      <c r="K5" s="83"/>
      <c r="L5" s="84"/>
      <c r="M5" s="85">
        <v>8</v>
      </c>
      <c r="N5" s="75">
        <f>N12*20%</f>
        <v>1400000</v>
      </c>
      <c r="P5" s="71">
        <v>17</v>
      </c>
      <c r="Q5" s="58">
        <f>ROUND(P5*18/P3,0)</f>
        <v>19</v>
      </c>
    </row>
    <row r="6" spans="1:17" s="81" customFormat="1" ht="18" customHeight="1">
      <c r="A6" s="378" t="s">
        <v>38</v>
      </c>
      <c r="B6" s="247">
        <v>14.2</v>
      </c>
      <c r="C6" s="361">
        <v>35</v>
      </c>
      <c r="D6" s="307">
        <v>27</v>
      </c>
      <c r="E6" s="88"/>
      <c r="F6" s="12">
        <v>3</v>
      </c>
      <c r="G6" s="12">
        <v>6</v>
      </c>
      <c r="H6" s="75">
        <f t="shared" si="0"/>
        <v>1100000</v>
      </c>
      <c r="I6" s="76">
        <f>IF(E6&gt;0,$N$13,0)+IF(C6&gt;0,50000,0)+IF(C14&lt;0,50000,0)</f>
        <v>50000</v>
      </c>
      <c r="J6" s="82" t="s">
        <v>88</v>
      </c>
      <c r="K6" s="83"/>
      <c r="L6" s="84"/>
      <c r="M6" s="85">
        <v>6</v>
      </c>
      <c r="N6" s="75">
        <f>N12*15%</f>
        <v>1050000</v>
      </c>
      <c r="P6" s="71">
        <v>18</v>
      </c>
      <c r="Q6" s="58">
        <f>ROUND(P6*18/P3,0)</f>
        <v>20</v>
      </c>
    </row>
    <row r="7" spans="1:17" s="81" customFormat="1" ht="18" customHeight="1">
      <c r="A7" s="378" t="s">
        <v>14</v>
      </c>
      <c r="B7" s="247">
        <v>11.7</v>
      </c>
      <c r="C7" s="361">
        <v>34</v>
      </c>
      <c r="D7" s="306">
        <v>30</v>
      </c>
      <c r="E7" s="88"/>
      <c r="F7" s="72">
        <v>4</v>
      </c>
      <c r="G7" s="72">
        <v>5</v>
      </c>
      <c r="H7" s="75">
        <f t="shared" si="0"/>
        <v>890000</v>
      </c>
      <c r="I7" s="76">
        <f t="shared" si="1"/>
        <v>50000</v>
      </c>
      <c r="J7" s="82" t="s">
        <v>89</v>
      </c>
      <c r="K7" s="83"/>
      <c r="L7" s="84"/>
      <c r="M7" s="85">
        <v>5</v>
      </c>
      <c r="N7" s="75">
        <f>N12*12%</f>
        <v>840000</v>
      </c>
      <c r="O7" s="86"/>
      <c r="P7" s="71">
        <v>19</v>
      </c>
      <c r="Q7" s="58">
        <f>ROUND(P7*18/P3,0)</f>
        <v>21</v>
      </c>
    </row>
    <row r="8" spans="1:17" s="81" customFormat="1" ht="18" customHeight="1">
      <c r="A8" s="378" t="s">
        <v>36</v>
      </c>
      <c r="B8" s="247">
        <v>18.5</v>
      </c>
      <c r="C8" s="361">
        <v>32</v>
      </c>
      <c r="D8" s="306">
        <v>28</v>
      </c>
      <c r="E8" s="74"/>
      <c r="F8" s="72">
        <v>5</v>
      </c>
      <c r="G8" s="72">
        <v>4</v>
      </c>
      <c r="H8" s="75">
        <f t="shared" si="0"/>
        <v>750000</v>
      </c>
      <c r="I8" s="76">
        <f t="shared" si="1"/>
        <v>50000</v>
      </c>
      <c r="J8" s="82" t="s">
        <v>90</v>
      </c>
      <c r="K8" s="83"/>
      <c r="L8" s="84"/>
      <c r="M8" s="85">
        <v>4</v>
      </c>
      <c r="N8" s="75">
        <f>N12*10%</f>
        <v>700000</v>
      </c>
      <c r="P8" s="71">
        <v>20</v>
      </c>
      <c r="Q8" s="58">
        <f>ROUND(P8*18/P3,0)</f>
        <v>23</v>
      </c>
    </row>
    <row r="9" spans="1:17" s="81" customFormat="1" ht="18" customHeight="1">
      <c r="A9" s="378" t="s">
        <v>12</v>
      </c>
      <c r="B9" s="247">
        <v>15.3</v>
      </c>
      <c r="C9" s="361">
        <v>30</v>
      </c>
      <c r="D9" s="306">
        <v>32</v>
      </c>
      <c r="E9" s="88"/>
      <c r="F9" s="89">
        <v>6</v>
      </c>
      <c r="G9" s="89">
        <v>3</v>
      </c>
      <c r="H9" s="75">
        <f t="shared" si="0"/>
        <v>610000</v>
      </c>
      <c r="I9" s="76">
        <f t="shared" si="1"/>
        <v>50000</v>
      </c>
      <c r="J9" s="82" t="s">
        <v>91</v>
      </c>
      <c r="K9" s="83"/>
      <c r="L9" s="84"/>
      <c r="M9" s="85">
        <v>3</v>
      </c>
      <c r="N9" s="75">
        <f>N12*8%</f>
        <v>560000</v>
      </c>
      <c r="P9" s="71">
        <v>21</v>
      </c>
      <c r="Q9" s="58">
        <f>ROUND(P9*18/P3,0)</f>
        <v>24</v>
      </c>
    </row>
    <row r="10" spans="1:17" s="81" customFormat="1" ht="18" customHeight="1">
      <c r="A10" s="378" t="s">
        <v>34</v>
      </c>
      <c r="B10" s="247">
        <v>15.6</v>
      </c>
      <c r="C10" s="361">
        <v>30</v>
      </c>
      <c r="D10" s="306">
        <v>32</v>
      </c>
      <c r="E10" s="74"/>
      <c r="F10" s="72">
        <v>7</v>
      </c>
      <c r="G10" s="72">
        <v>2</v>
      </c>
      <c r="H10" s="75">
        <f t="shared" si="0"/>
        <v>470000</v>
      </c>
      <c r="I10" s="76">
        <f t="shared" si="1"/>
        <v>50000</v>
      </c>
      <c r="J10" s="82" t="s">
        <v>92</v>
      </c>
      <c r="K10" s="83"/>
      <c r="L10" s="84"/>
      <c r="M10" s="85">
        <v>2</v>
      </c>
      <c r="N10" s="75">
        <f>N12*6%</f>
        <v>420000</v>
      </c>
      <c r="P10" s="71">
        <v>22</v>
      </c>
      <c r="Q10" s="58">
        <f>ROUND(P10*18/P3,0)</f>
        <v>25</v>
      </c>
    </row>
    <row r="11" spans="1:17" s="81" customFormat="1" ht="18" customHeight="1">
      <c r="A11" s="378" t="s">
        <v>46</v>
      </c>
      <c r="B11" s="247">
        <v>22.1</v>
      </c>
      <c r="C11" s="361">
        <v>30</v>
      </c>
      <c r="D11" s="306">
        <v>32</v>
      </c>
      <c r="E11" s="88"/>
      <c r="F11" s="72">
        <v>8</v>
      </c>
      <c r="G11" s="72">
        <v>1</v>
      </c>
      <c r="H11" s="75">
        <f t="shared" si="0"/>
        <v>330000</v>
      </c>
      <c r="I11" s="76">
        <f t="shared" si="1"/>
        <v>50000</v>
      </c>
      <c r="J11" s="82" t="s">
        <v>93</v>
      </c>
      <c r="K11" s="83"/>
      <c r="L11" s="84"/>
      <c r="M11" s="85">
        <v>1</v>
      </c>
      <c r="N11" s="75">
        <f>N12*4%</f>
        <v>280000</v>
      </c>
      <c r="P11" s="71">
        <v>23</v>
      </c>
      <c r="Q11" s="58">
        <f>ROUND(P11*18/P3,0)</f>
        <v>26</v>
      </c>
    </row>
    <row r="12" spans="1:17" s="81" customFormat="1" ht="18" customHeight="1">
      <c r="A12" s="378" t="s">
        <v>10</v>
      </c>
      <c r="B12" s="247">
        <v>14.2</v>
      </c>
      <c r="C12" s="361">
        <v>29</v>
      </c>
      <c r="D12" s="306">
        <v>30</v>
      </c>
      <c r="E12" s="74">
        <v>6.33</v>
      </c>
      <c r="F12" s="72"/>
      <c r="G12" s="72"/>
      <c r="H12" s="75">
        <f aca="true" t="shared" si="2" ref="H12:H28">I12</f>
        <v>470000</v>
      </c>
      <c r="I12" s="76">
        <f aca="true" t="shared" si="3" ref="I12:I28">IF(E12&gt;0,$N$13,0)+IF(C12&gt;0,50000,0)+IF(C12&lt;0,50000,0)</f>
        <v>470000</v>
      </c>
      <c r="J12" s="90" t="s">
        <v>94</v>
      </c>
      <c r="K12" s="83"/>
      <c r="L12" s="84"/>
      <c r="M12" s="85"/>
      <c r="N12" s="91">
        <v>7000000</v>
      </c>
      <c r="P12" s="71">
        <v>24</v>
      </c>
      <c r="Q12" s="58">
        <f>ROUND(P12*18/P3,0)</f>
        <v>27</v>
      </c>
    </row>
    <row r="13" spans="1:17" s="81" customFormat="1" ht="18" customHeight="1">
      <c r="A13" s="378" t="s">
        <v>166</v>
      </c>
      <c r="B13" s="247">
        <v>15.3</v>
      </c>
      <c r="C13" s="361">
        <v>29</v>
      </c>
      <c r="D13" s="306">
        <v>33</v>
      </c>
      <c r="E13" s="74"/>
      <c r="F13" s="72"/>
      <c r="G13" s="72"/>
      <c r="H13" s="75">
        <f t="shared" si="2"/>
        <v>50000</v>
      </c>
      <c r="I13" s="76">
        <f t="shared" si="3"/>
        <v>50000</v>
      </c>
      <c r="J13" s="93" t="s">
        <v>95</v>
      </c>
      <c r="K13" s="94"/>
      <c r="L13" s="95"/>
      <c r="M13" s="96">
        <v>1</v>
      </c>
      <c r="N13" s="97">
        <f>N10</f>
        <v>420000</v>
      </c>
      <c r="P13" s="71">
        <v>25</v>
      </c>
      <c r="Q13" s="58">
        <f>ROUND(P13*18/P3,0)</f>
        <v>28</v>
      </c>
    </row>
    <row r="14" spans="1:17" s="81" customFormat="1" ht="18" customHeight="1">
      <c r="A14" s="378" t="s">
        <v>28</v>
      </c>
      <c r="B14" s="247">
        <v>11.3</v>
      </c>
      <c r="C14" s="361">
        <v>26</v>
      </c>
      <c r="D14" s="306">
        <v>35</v>
      </c>
      <c r="E14" s="74"/>
      <c r="F14" s="72"/>
      <c r="G14" s="72"/>
      <c r="H14" s="75">
        <f t="shared" si="2"/>
        <v>50000</v>
      </c>
      <c r="I14" s="76">
        <f t="shared" si="3"/>
        <v>50000</v>
      </c>
      <c r="J14" s="98"/>
      <c r="K14" s="94"/>
      <c r="L14" s="94"/>
      <c r="M14" s="99"/>
      <c r="N14" s="100"/>
      <c r="P14" s="71">
        <v>26</v>
      </c>
      <c r="Q14" s="58">
        <f>ROUND(P14*18/P3,0)</f>
        <v>29</v>
      </c>
    </row>
    <row r="15" spans="1:17" s="81" customFormat="1" ht="18" customHeight="1">
      <c r="A15" s="378" t="s">
        <v>8</v>
      </c>
      <c r="B15" s="247">
        <v>21</v>
      </c>
      <c r="C15" s="361">
        <v>26</v>
      </c>
      <c r="D15" s="306">
        <v>35</v>
      </c>
      <c r="E15" s="74"/>
      <c r="F15" s="72"/>
      <c r="G15" s="72"/>
      <c r="H15" s="75">
        <f t="shared" si="2"/>
        <v>50000</v>
      </c>
      <c r="I15" s="76">
        <f t="shared" si="3"/>
        <v>50000</v>
      </c>
      <c r="J15" s="101"/>
      <c r="K15" s="102"/>
      <c r="L15" s="102"/>
      <c r="M15" s="103"/>
      <c r="N15" s="104"/>
      <c r="P15" s="71">
        <v>27</v>
      </c>
      <c r="Q15" s="58">
        <f>ROUND(P15*18/P3,0)</f>
        <v>30</v>
      </c>
    </row>
    <row r="16" spans="1:17" s="81" customFormat="1" ht="18" customHeight="1">
      <c r="A16" s="378" t="s">
        <v>40</v>
      </c>
      <c r="B16" s="247">
        <v>22.1</v>
      </c>
      <c r="C16" s="361">
        <v>26</v>
      </c>
      <c r="D16" s="306">
        <v>36</v>
      </c>
      <c r="E16" s="74"/>
      <c r="F16" s="12"/>
      <c r="G16" s="12"/>
      <c r="H16" s="75">
        <f t="shared" si="2"/>
        <v>50000</v>
      </c>
      <c r="I16" s="76">
        <f t="shared" si="3"/>
        <v>50000</v>
      </c>
      <c r="P16" s="71">
        <v>28</v>
      </c>
      <c r="Q16" s="58">
        <f>ROUND(P16*18/P3,0)</f>
        <v>32</v>
      </c>
    </row>
    <row r="17" spans="1:17" s="81" customFormat="1" ht="18" customHeight="1">
      <c r="A17" s="378" t="s">
        <v>22</v>
      </c>
      <c r="B17" s="247">
        <v>12.6</v>
      </c>
      <c r="C17" s="361">
        <v>25</v>
      </c>
      <c r="D17" s="306">
        <v>38</v>
      </c>
      <c r="E17" s="74"/>
      <c r="F17" s="12"/>
      <c r="G17" s="12"/>
      <c r="H17" s="75">
        <f t="shared" si="2"/>
        <v>50000</v>
      </c>
      <c r="I17" s="76">
        <f t="shared" si="3"/>
        <v>50000</v>
      </c>
      <c r="O17" s="86"/>
      <c r="P17" s="71">
        <v>29</v>
      </c>
      <c r="Q17" s="58">
        <f>ROUND(P17*18/P3,0)</f>
        <v>33</v>
      </c>
    </row>
    <row r="18" spans="1:17" s="81" customFormat="1" ht="18" customHeight="1">
      <c r="A18" s="378" t="s">
        <v>30</v>
      </c>
      <c r="B18" s="247">
        <v>10.1</v>
      </c>
      <c r="C18" s="361">
        <v>24</v>
      </c>
      <c r="D18" s="306">
        <v>37</v>
      </c>
      <c r="E18" s="74"/>
      <c r="F18" s="72"/>
      <c r="G18" s="72"/>
      <c r="H18" s="75">
        <f t="shared" si="2"/>
        <v>50000</v>
      </c>
      <c r="I18" s="76">
        <f t="shared" si="3"/>
        <v>50000</v>
      </c>
      <c r="J18" s="8"/>
      <c r="K18" s="8"/>
      <c r="L18" s="8"/>
      <c r="M18" s="8"/>
      <c r="N18" s="8"/>
      <c r="O18" s="87"/>
      <c r="P18" s="71">
        <v>30</v>
      </c>
      <c r="Q18" s="58">
        <f>ROUND(P18*18/P3,0)</f>
        <v>34</v>
      </c>
    </row>
    <row r="19" spans="1:17" s="81" customFormat="1" ht="18" customHeight="1">
      <c r="A19" s="378" t="s">
        <v>18</v>
      </c>
      <c r="B19" s="247">
        <v>14.2</v>
      </c>
      <c r="C19" s="361">
        <v>22</v>
      </c>
      <c r="D19" s="306">
        <v>35</v>
      </c>
      <c r="E19" s="74"/>
      <c r="F19" s="72"/>
      <c r="G19" s="72"/>
      <c r="H19" s="75">
        <f t="shared" si="2"/>
        <v>50000</v>
      </c>
      <c r="I19" s="76">
        <f t="shared" si="3"/>
        <v>50000</v>
      </c>
      <c r="J19" s="8"/>
      <c r="K19" s="8"/>
      <c r="L19" s="8"/>
      <c r="M19" s="8"/>
      <c r="N19" s="8"/>
      <c r="O19" s="87"/>
      <c r="P19" s="71">
        <v>31</v>
      </c>
      <c r="Q19" s="58">
        <f>ROUND(P19*18/P3,0)</f>
        <v>35</v>
      </c>
    </row>
    <row r="20" spans="1:17" s="57" customFormat="1" ht="18" customHeight="1">
      <c r="A20" s="378"/>
      <c r="B20" s="247"/>
      <c r="C20" s="361"/>
      <c r="D20" s="306"/>
      <c r="E20" s="74"/>
      <c r="F20" s="12"/>
      <c r="G20" s="12"/>
      <c r="H20" s="75">
        <f t="shared" si="2"/>
        <v>0</v>
      </c>
      <c r="I20" s="76">
        <f t="shared" si="3"/>
        <v>0</v>
      </c>
      <c r="J20" s="8"/>
      <c r="K20" s="8"/>
      <c r="L20" s="8"/>
      <c r="M20" s="8"/>
      <c r="N20" s="8"/>
      <c r="P20" s="71">
        <v>32</v>
      </c>
      <c r="Q20" s="58">
        <f>ROUND(P20*18/P3,0)</f>
        <v>36</v>
      </c>
    </row>
    <row r="21" spans="1:17" s="57" customFormat="1" ht="18" customHeight="1">
      <c r="A21" s="378"/>
      <c r="B21" s="247"/>
      <c r="C21" s="261"/>
      <c r="D21" s="73"/>
      <c r="E21" s="74"/>
      <c r="F21" s="12"/>
      <c r="G21" s="12"/>
      <c r="H21" s="75">
        <f t="shared" si="2"/>
        <v>0</v>
      </c>
      <c r="I21" s="76">
        <f t="shared" si="3"/>
        <v>0</v>
      </c>
      <c r="J21" s="8"/>
      <c r="K21" s="8"/>
      <c r="L21" s="8"/>
      <c r="M21" s="8"/>
      <c r="N21" s="8"/>
      <c r="P21" s="71">
        <v>33</v>
      </c>
      <c r="Q21" s="58">
        <f>ROUND(P21*18/P3,0)</f>
        <v>37</v>
      </c>
    </row>
    <row r="22" spans="1:17" s="57" customFormat="1" ht="18" customHeight="1">
      <c r="A22" s="378"/>
      <c r="B22" s="247"/>
      <c r="C22" s="72"/>
      <c r="D22" s="73"/>
      <c r="E22" s="88"/>
      <c r="F22" s="12"/>
      <c r="G22" s="12"/>
      <c r="H22" s="75">
        <f t="shared" si="2"/>
        <v>0</v>
      </c>
      <c r="I22" s="76">
        <f t="shared" si="3"/>
        <v>0</v>
      </c>
      <c r="J22" s="8"/>
      <c r="K22" s="8"/>
      <c r="L22" s="8"/>
      <c r="M22" s="8"/>
      <c r="N22" s="8"/>
      <c r="P22" s="71">
        <v>34</v>
      </c>
      <c r="Q22" s="58">
        <f>ROUND(P22*18/P3,0)</f>
        <v>38</v>
      </c>
    </row>
    <row r="23" spans="1:17" s="57" customFormat="1" ht="18" customHeight="1">
      <c r="A23" s="378"/>
      <c r="B23" s="247"/>
      <c r="C23" s="72"/>
      <c r="D23" s="73"/>
      <c r="E23" s="74"/>
      <c r="F23" s="12"/>
      <c r="G23" s="12"/>
      <c r="H23" s="75">
        <f t="shared" si="2"/>
        <v>0</v>
      </c>
      <c r="I23" s="76">
        <f t="shared" si="3"/>
        <v>0</v>
      </c>
      <c r="J23" s="8"/>
      <c r="K23" s="8"/>
      <c r="L23" s="8"/>
      <c r="M23" s="8"/>
      <c r="N23" s="8"/>
      <c r="P23" s="71">
        <v>35</v>
      </c>
      <c r="Q23" s="58">
        <f>ROUND(P23*18/P3,0)</f>
        <v>39</v>
      </c>
    </row>
    <row r="24" spans="1:17" s="57" customFormat="1" ht="18" customHeight="1">
      <c r="A24" s="378"/>
      <c r="B24" s="247"/>
      <c r="C24" s="72"/>
      <c r="D24" s="105" t="s">
        <v>96</v>
      </c>
      <c r="E24" s="88"/>
      <c r="F24" s="12"/>
      <c r="G24" s="12"/>
      <c r="H24" s="75">
        <f t="shared" si="2"/>
        <v>0</v>
      </c>
      <c r="I24" s="76">
        <f>IF(E24&gt;0,$N$13,0)+IF(C24&gt;0,50000,0)+IF(C24&lt;0,50000,0)</f>
        <v>0</v>
      </c>
      <c r="J24" s="8"/>
      <c r="K24" s="8"/>
      <c r="L24" s="8"/>
      <c r="M24" s="8"/>
      <c r="N24" s="8"/>
      <c r="P24" s="71">
        <v>36</v>
      </c>
      <c r="Q24" s="58">
        <f>ROUND(P24*18/P3,0)</f>
        <v>41</v>
      </c>
    </row>
    <row r="25" spans="1:17" s="57" customFormat="1" ht="18" customHeight="1">
      <c r="A25" s="378"/>
      <c r="B25" s="247"/>
      <c r="C25" s="73"/>
      <c r="D25" s="73"/>
      <c r="E25" s="88"/>
      <c r="F25" s="12"/>
      <c r="G25" s="12"/>
      <c r="H25" s="75">
        <f t="shared" si="2"/>
        <v>0</v>
      </c>
      <c r="I25" s="76">
        <f t="shared" si="3"/>
        <v>0</v>
      </c>
      <c r="J25" s="8"/>
      <c r="K25" s="8"/>
      <c r="L25" s="8"/>
      <c r="M25" s="8"/>
      <c r="N25" s="8"/>
      <c r="P25" s="71">
        <v>37</v>
      </c>
      <c r="Q25" s="58">
        <f>ROUND(P25*18/P3,0)</f>
        <v>42</v>
      </c>
    </row>
    <row r="26" spans="1:17" s="57" customFormat="1" ht="18" customHeight="1">
      <c r="A26" s="378"/>
      <c r="B26" s="247"/>
      <c r="C26" s="73"/>
      <c r="D26" s="73"/>
      <c r="E26" s="88"/>
      <c r="F26" s="12"/>
      <c r="G26" s="12"/>
      <c r="H26" s="75">
        <f t="shared" si="2"/>
        <v>0</v>
      </c>
      <c r="I26" s="76">
        <f t="shared" si="3"/>
        <v>0</v>
      </c>
      <c r="J26" s="8"/>
      <c r="K26" s="8"/>
      <c r="L26" s="8"/>
      <c r="M26" s="8"/>
      <c r="N26" s="8"/>
      <c r="P26" s="71">
        <v>38</v>
      </c>
      <c r="Q26" s="58">
        <f>ROUND(P26*18/P3,0)</f>
        <v>43</v>
      </c>
    </row>
    <row r="27" spans="1:17" s="57" customFormat="1" ht="18" customHeight="1">
      <c r="A27" s="378"/>
      <c r="B27" s="247"/>
      <c r="C27" s="72"/>
      <c r="D27" s="73"/>
      <c r="E27" s="74"/>
      <c r="F27" s="72"/>
      <c r="G27" s="72"/>
      <c r="H27" s="75">
        <f t="shared" si="2"/>
        <v>0</v>
      </c>
      <c r="I27" s="76">
        <f t="shared" si="3"/>
        <v>0</v>
      </c>
      <c r="J27" s="8"/>
      <c r="K27" s="8"/>
      <c r="L27" s="8"/>
      <c r="M27" s="8"/>
      <c r="N27" s="8"/>
      <c r="P27" s="71">
        <v>39</v>
      </c>
      <c r="Q27" s="58">
        <f>ROUND(P27*18/P3,0)</f>
        <v>44</v>
      </c>
    </row>
    <row r="28" spans="1:17" ht="24" customHeight="1">
      <c r="A28" s="378"/>
      <c r="B28" s="247"/>
      <c r="C28" s="72"/>
      <c r="D28" s="73"/>
      <c r="E28" s="88"/>
      <c r="F28" s="72"/>
      <c r="G28" s="72"/>
      <c r="H28" s="75">
        <f t="shared" si="2"/>
        <v>0</v>
      </c>
      <c r="I28" s="76">
        <f t="shared" si="3"/>
        <v>0</v>
      </c>
      <c r="P28" s="71">
        <v>40</v>
      </c>
      <c r="Q28" s="58">
        <f>ROUND(P28*18/P3,0)</f>
        <v>45</v>
      </c>
    </row>
    <row r="29" spans="1:17" ht="15.75">
      <c r="A29" s="1"/>
      <c r="B29" s="3"/>
      <c r="C29" s="106"/>
      <c r="D29" s="107">
        <f>SUM(D4:D28)</f>
        <v>523</v>
      </c>
      <c r="E29" s="106"/>
      <c r="F29" s="3"/>
      <c r="G29" s="108">
        <f>SUM(G4:G28)</f>
        <v>39</v>
      </c>
      <c r="H29" s="108">
        <f>SUM(H4:H28)</f>
        <v>8220000</v>
      </c>
      <c r="I29" s="109"/>
      <c r="P29" s="71">
        <v>41</v>
      </c>
      <c r="Q29" s="58">
        <f>ROUND(P29*18/P3,0)</f>
        <v>46</v>
      </c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000000000000005" right="0.43000000000000005" top="0.55" bottom="0.55" header="0.51" footer="0.51"/>
  <pageSetup fitToHeight="1" fitToWidth="1" horizontalDpi="300" verticalDpi="300" orientation="landscape" paperSize="9" scale="78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PageLayoutView="0" workbookViewId="0" topLeftCell="A1">
      <selection activeCell="A1" sqref="A1:N28"/>
    </sheetView>
  </sheetViews>
  <sheetFormatPr defaultColWidth="9.140625" defaultRowHeight="12.75"/>
  <cols>
    <col min="1" max="1" width="25.140625" style="54" customWidth="1"/>
    <col min="2" max="2" width="7.8515625" style="55" customWidth="1"/>
    <col min="3" max="3" width="8.421875" style="56" customWidth="1"/>
    <col min="4" max="4" width="6.8515625" style="55" customWidth="1"/>
    <col min="5" max="5" width="8.140625" style="55" customWidth="1"/>
    <col min="6" max="6" width="10.140625" style="55" customWidth="1"/>
    <col min="7" max="7" width="9.140625" style="55" customWidth="1"/>
    <col min="8" max="8" width="13.421875" style="55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57" customFormat="1" ht="43.5" customHeight="1">
      <c r="B1" s="435" t="s">
        <v>284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</row>
    <row r="2" spans="2:14" s="57" customFormat="1" ht="29.25" customHeight="1">
      <c r="B2" s="444" t="s">
        <v>285</v>
      </c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</row>
    <row r="3" spans="1:14" s="70" customFormat="1" ht="27" customHeight="1">
      <c r="A3" s="59" t="s">
        <v>77</v>
      </c>
      <c r="B3" s="60" t="s">
        <v>78</v>
      </c>
      <c r="C3" s="60" t="s">
        <v>79</v>
      </c>
      <c r="D3" s="60" t="s">
        <v>80</v>
      </c>
      <c r="E3" s="60" t="s">
        <v>81</v>
      </c>
      <c r="F3" s="61" t="s">
        <v>82</v>
      </c>
      <c r="G3" s="62" t="s">
        <v>83</v>
      </c>
      <c r="H3" s="63" t="s">
        <v>84</v>
      </c>
      <c r="I3" s="64"/>
      <c r="J3" s="65" t="s">
        <v>82</v>
      </c>
      <c r="K3" s="66"/>
      <c r="L3" s="67"/>
      <c r="M3" s="68" t="s">
        <v>83</v>
      </c>
      <c r="N3" s="69" t="s">
        <v>85</v>
      </c>
    </row>
    <row r="4" spans="1:14" s="81" customFormat="1" ht="18" customHeight="1">
      <c r="A4" s="378" t="s">
        <v>10</v>
      </c>
      <c r="B4" s="247">
        <v>14.2</v>
      </c>
      <c r="C4" s="445">
        <v>81</v>
      </c>
      <c r="D4" s="73"/>
      <c r="E4" s="88"/>
      <c r="F4" s="451">
        <v>1</v>
      </c>
      <c r="G4" s="72">
        <v>8</v>
      </c>
      <c r="H4" s="75">
        <v>1250000</v>
      </c>
      <c r="I4" s="76">
        <f aca="true" t="shared" si="0" ref="I4:I11">IF(E4&gt;0,$N$13,0)+IF(C4&gt;0,50000,0)+IF(C12&lt;0,50000,0)</f>
        <v>50000</v>
      </c>
      <c r="J4" s="77" t="s">
        <v>86</v>
      </c>
      <c r="K4" s="78"/>
      <c r="L4" s="79"/>
      <c r="M4" s="80">
        <v>10</v>
      </c>
      <c r="N4" s="75">
        <f>N12*25%</f>
        <v>1500000</v>
      </c>
    </row>
    <row r="5" spans="1:14" s="81" customFormat="1" ht="18" customHeight="1">
      <c r="A5" s="378" t="s">
        <v>44</v>
      </c>
      <c r="B5" s="247">
        <v>15.4</v>
      </c>
      <c r="C5" s="446"/>
      <c r="D5" s="73"/>
      <c r="E5" s="74"/>
      <c r="F5" s="452"/>
      <c r="G5" s="72">
        <v>8</v>
      </c>
      <c r="H5" s="75">
        <v>1250000</v>
      </c>
      <c r="I5" s="76">
        <f>IF(E5&gt;0,$N$13,0)+IF(C5&gt;0,50000,0)+IF(C13&lt;0,50000,0)</f>
        <v>0</v>
      </c>
      <c r="J5" s="82" t="s">
        <v>87</v>
      </c>
      <c r="K5" s="83"/>
      <c r="L5" s="84"/>
      <c r="M5" s="85">
        <v>8</v>
      </c>
      <c r="N5" s="75">
        <f>N12*20%</f>
        <v>1200000</v>
      </c>
    </row>
    <row r="6" spans="1:14" s="81" customFormat="1" ht="18" customHeight="1">
      <c r="A6" s="378" t="s">
        <v>42</v>
      </c>
      <c r="B6" s="247">
        <v>18.2</v>
      </c>
      <c r="C6" s="447"/>
      <c r="D6" s="73"/>
      <c r="E6" s="74"/>
      <c r="F6" s="453"/>
      <c r="G6" s="72">
        <v>8</v>
      </c>
      <c r="H6" s="75">
        <v>1250000</v>
      </c>
      <c r="I6" s="76">
        <f>IF(E6&gt;0,$N$13,0)+IF(C6&gt;0,50000,0)+IF(C14&lt;0,50000,0)</f>
        <v>0</v>
      </c>
      <c r="J6" s="82" t="s">
        <v>88</v>
      </c>
      <c r="K6" s="83"/>
      <c r="L6" s="84"/>
      <c r="M6" s="85">
        <v>6</v>
      </c>
      <c r="N6" s="75">
        <f>N12*15%</f>
        <v>900000</v>
      </c>
    </row>
    <row r="7" spans="1:15" s="81" customFormat="1" ht="18" customHeight="1">
      <c r="A7" s="378" t="s">
        <v>28</v>
      </c>
      <c r="B7" s="247">
        <v>11.3</v>
      </c>
      <c r="C7" s="445">
        <v>79</v>
      </c>
      <c r="D7" s="73"/>
      <c r="E7" s="88"/>
      <c r="F7" s="451">
        <v>2</v>
      </c>
      <c r="G7" s="72">
        <v>4</v>
      </c>
      <c r="H7" s="75">
        <v>650000</v>
      </c>
      <c r="I7" s="76">
        <f t="shared" si="0"/>
        <v>50000</v>
      </c>
      <c r="J7" s="82" t="s">
        <v>89</v>
      </c>
      <c r="K7" s="83"/>
      <c r="L7" s="84"/>
      <c r="M7" s="85">
        <v>5</v>
      </c>
      <c r="N7" s="75">
        <f>N12*12%</f>
        <v>720000</v>
      </c>
      <c r="O7" s="86"/>
    </row>
    <row r="8" spans="1:14" s="81" customFormat="1" ht="18" customHeight="1">
      <c r="A8" s="378" t="s">
        <v>34</v>
      </c>
      <c r="B8" s="247">
        <v>15.6</v>
      </c>
      <c r="C8" s="446"/>
      <c r="D8" s="73"/>
      <c r="E8" s="88"/>
      <c r="F8" s="452"/>
      <c r="G8" s="72">
        <v>4</v>
      </c>
      <c r="H8" s="75">
        <v>650000</v>
      </c>
      <c r="I8" s="76">
        <f t="shared" si="0"/>
        <v>0</v>
      </c>
      <c r="J8" s="82" t="s">
        <v>90</v>
      </c>
      <c r="K8" s="83"/>
      <c r="L8" s="84"/>
      <c r="M8" s="85">
        <v>4</v>
      </c>
      <c r="N8" s="75">
        <f>N12*10%</f>
        <v>600000</v>
      </c>
    </row>
    <row r="9" spans="1:14" s="81" customFormat="1" ht="18" customHeight="1">
      <c r="A9" s="378" t="s">
        <v>40</v>
      </c>
      <c r="B9" s="247">
        <v>22.1</v>
      </c>
      <c r="C9" s="447"/>
      <c r="D9" s="73"/>
      <c r="E9" s="74"/>
      <c r="F9" s="453"/>
      <c r="G9" s="72">
        <v>4</v>
      </c>
      <c r="H9" s="75">
        <v>650000</v>
      </c>
      <c r="I9" s="76">
        <f t="shared" si="0"/>
        <v>0</v>
      </c>
      <c r="J9" s="82" t="s">
        <v>91</v>
      </c>
      <c r="K9" s="83"/>
      <c r="L9" s="84"/>
      <c r="M9" s="85">
        <v>3</v>
      </c>
      <c r="N9" s="75">
        <f>N12*8%</f>
        <v>480000</v>
      </c>
    </row>
    <row r="10" spans="1:14" s="81" customFormat="1" ht="18" customHeight="1">
      <c r="A10" s="378" t="s">
        <v>48</v>
      </c>
      <c r="B10" s="247">
        <v>7.9</v>
      </c>
      <c r="C10" s="445">
        <v>74</v>
      </c>
      <c r="D10" s="73"/>
      <c r="E10" s="74"/>
      <c r="F10" s="451">
        <v>3</v>
      </c>
      <c r="G10" s="72">
        <v>2</v>
      </c>
      <c r="H10" s="75">
        <v>350000</v>
      </c>
      <c r="I10" s="76">
        <f t="shared" si="0"/>
        <v>50000</v>
      </c>
      <c r="J10" s="82" t="s">
        <v>92</v>
      </c>
      <c r="K10" s="83"/>
      <c r="L10" s="84"/>
      <c r="M10" s="85">
        <v>2</v>
      </c>
      <c r="N10" s="75">
        <f>N12*6%</f>
        <v>360000</v>
      </c>
    </row>
    <row r="11" spans="1:14" s="81" customFormat="1" ht="18" customHeight="1">
      <c r="A11" s="378" t="s">
        <v>20</v>
      </c>
      <c r="B11" s="247">
        <v>16.8</v>
      </c>
      <c r="C11" s="446"/>
      <c r="D11" s="73"/>
      <c r="E11" s="74"/>
      <c r="F11" s="452"/>
      <c r="G11" s="72">
        <v>2</v>
      </c>
      <c r="H11" s="75">
        <v>350000</v>
      </c>
      <c r="I11" s="76">
        <f t="shared" si="0"/>
        <v>0</v>
      </c>
      <c r="J11" s="82" t="s">
        <v>93</v>
      </c>
      <c r="K11" s="83"/>
      <c r="L11" s="84"/>
      <c r="M11" s="85">
        <v>1</v>
      </c>
      <c r="N11" s="75">
        <f>N12*4%</f>
        <v>240000</v>
      </c>
    </row>
    <row r="12" spans="1:14" s="81" customFormat="1" ht="18" customHeight="1">
      <c r="A12" s="378" t="s">
        <v>26</v>
      </c>
      <c r="B12" s="247">
        <v>23.1</v>
      </c>
      <c r="C12" s="447"/>
      <c r="D12" s="73"/>
      <c r="E12" s="74"/>
      <c r="F12" s="453"/>
      <c r="G12" s="72">
        <v>2</v>
      </c>
      <c r="H12" s="75">
        <v>350000</v>
      </c>
      <c r="I12" s="76">
        <f aca="true" t="shared" si="1" ref="I12:I27">IF(E12&gt;0,$N$13,0)+IF(C12&gt;0,50000,0)+IF(C12&lt;0,50000,0)</f>
        <v>0</v>
      </c>
      <c r="J12" s="90" t="s">
        <v>94</v>
      </c>
      <c r="K12" s="83"/>
      <c r="L12" s="84"/>
      <c r="M12" s="85"/>
      <c r="N12" s="91">
        <v>6000000</v>
      </c>
    </row>
    <row r="13" spans="1:14" s="81" customFormat="1" ht="18" customHeight="1">
      <c r="A13" s="378" t="s">
        <v>38</v>
      </c>
      <c r="B13" s="247">
        <v>14.2</v>
      </c>
      <c r="C13" s="445">
        <v>72</v>
      </c>
      <c r="D13" s="73"/>
      <c r="E13" s="88"/>
      <c r="F13" s="72"/>
      <c r="G13" s="72"/>
      <c r="H13" s="75">
        <f aca="true" t="shared" si="2" ref="H13:H27">I13</f>
        <v>50000</v>
      </c>
      <c r="I13" s="76">
        <f t="shared" si="1"/>
        <v>50000</v>
      </c>
      <c r="J13" s="93" t="s">
        <v>95</v>
      </c>
      <c r="K13" s="94"/>
      <c r="L13" s="95"/>
      <c r="M13" s="96">
        <v>1</v>
      </c>
      <c r="N13" s="97">
        <f>N10</f>
        <v>360000</v>
      </c>
    </row>
    <row r="14" spans="1:14" s="81" customFormat="1" ht="18" customHeight="1">
      <c r="A14" s="378" t="s">
        <v>166</v>
      </c>
      <c r="B14" s="247">
        <v>15.3</v>
      </c>
      <c r="C14" s="446"/>
      <c r="D14" s="73"/>
      <c r="E14" s="88"/>
      <c r="F14" s="72"/>
      <c r="G14" s="72"/>
      <c r="H14" s="75">
        <v>50000</v>
      </c>
      <c r="I14" s="76">
        <f t="shared" si="1"/>
        <v>0</v>
      </c>
      <c r="J14" s="98"/>
      <c r="K14" s="94"/>
      <c r="L14" s="94"/>
      <c r="M14" s="99"/>
      <c r="N14" s="100"/>
    </row>
    <row r="15" spans="1:14" s="81" customFormat="1" ht="18" customHeight="1">
      <c r="A15" s="378" t="s">
        <v>36</v>
      </c>
      <c r="B15" s="247">
        <v>18.5</v>
      </c>
      <c r="C15" s="447"/>
      <c r="D15" s="73"/>
      <c r="E15" s="74"/>
      <c r="F15" s="72"/>
      <c r="G15" s="72"/>
      <c r="H15" s="75">
        <v>50000</v>
      </c>
      <c r="I15" s="76">
        <f t="shared" si="1"/>
        <v>0</v>
      </c>
      <c r="J15" s="101"/>
      <c r="K15" s="102"/>
      <c r="L15" s="102"/>
      <c r="M15" s="103"/>
      <c r="N15" s="104"/>
    </row>
    <row r="16" spans="1:9" s="81" customFormat="1" ht="18" customHeight="1">
      <c r="A16" s="378" t="s">
        <v>30</v>
      </c>
      <c r="B16" s="247">
        <v>10.1</v>
      </c>
      <c r="C16" s="448">
        <v>65</v>
      </c>
      <c r="D16" s="73"/>
      <c r="E16" s="74"/>
      <c r="F16" s="12"/>
      <c r="G16" s="12"/>
      <c r="H16" s="75">
        <f t="shared" si="2"/>
        <v>50000</v>
      </c>
      <c r="I16" s="76">
        <f t="shared" si="1"/>
        <v>50000</v>
      </c>
    </row>
    <row r="17" spans="1:15" s="81" customFormat="1" ht="18" customHeight="1">
      <c r="A17" s="378" t="s">
        <v>12</v>
      </c>
      <c r="B17" s="247">
        <v>15.3</v>
      </c>
      <c r="C17" s="449"/>
      <c r="D17" s="73"/>
      <c r="E17" s="74">
        <v>1.56</v>
      </c>
      <c r="F17" s="12"/>
      <c r="G17" s="12"/>
      <c r="H17" s="75">
        <v>410000</v>
      </c>
      <c r="I17" s="76">
        <f t="shared" si="1"/>
        <v>360000</v>
      </c>
      <c r="O17" s="86"/>
    </row>
    <row r="18" spans="1:15" s="81" customFormat="1" ht="18" customHeight="1">
      <c r="A18" s="378" t="s">
        <v>165</v>
      </c>
      <c r="B18" s="247" t="s">
        <v>99</v>
      </c>
      <c r="C18" s="450"/>
      <c r="D18" s="73"/>
      <c r="E18" s="74"/>
      <c r="F18" s="72"/>
      <c r="G18" s="72"/>
      <c r="H18" s="75">
        <f t="shared" si="2"/>
        <v>0</v>
      </c>
      <c r="I18" s="76">
        <f t="shared" si="1"/>
        <v>0</v>
      </c>
      <c r="J18" s="8"/>
      <c r="K18" s="8"/>
      <c r="L18" s="8"/>
      <c r="M18" s="8"/>
      <c r="N18" s="8"/>
      <c r="O18" s="87"/>
    </row>
    <row r="19" spans="1:15" s="81" customFormat="1" ht="18" customHeight="1">
      <c r="A19" s="378"/>
      <c r="B19" s="247"/>
      <c r="C19" s="72"/>
      <c r="D19" s="73"/>
      <c r="E19" s="74"/>
      <c r="F19" s="72"/>
      <c r="G19" s="72"/>
      <c r="H19" s="75">
        <f t="shared" si="2"/>
        <v>0</v>
      </c>
      <c r="I19" s="76">
        <f t="shared" si="1"/>
        <v>0</v>
      </c>
      <c r="J19" s="8"/>
      <c r="K19" s="8"/>
      <c r="L19" s="8"/>
      <c r="M19" s="8"/>
      <c r="N19" s="8"/>
      <c r="O19" s="87"/>
    </row>
    <row r="20" spans="1:14" s="57" customFormat="1" ht="18" customHeight="1">
      <c r="A20" s="378"/>
      <c r="B20" s="247"/>
      <c r="C20" s="72"/>
      <c r="D20" s="73"/>
      <c r="E20" s="74"/>
      <c r="F20" s="12"/>
      <c r="G20" s="12"/>
      <c r="H20" s="75">
        <f t="shared" si="2"/>
        <v>0</v>
      </c>
      <c r="I20" s="76">
        <f t="shared" si="1"/>
        <v>0</v>
      </c>
      <c r="J20" s="8"/>
      <c r="K20" s="8"/>
      <c r="L20" s="8"/>
      <c r="M20" s="8"/>
      <c r="N20" s="8"/>
    </row>
    <row r="21" spans="1:14" s="57" customFormat="1" ht="18" customHeight="1">
      <c r="A21" s="378"/>
      <c r="B21" s="247"/>
      <c r="C21" s="73"/>
      <c r="D21" s="73"/>
      <c r="E21" s="74"/>
      <c r="F21" s="12"/>
      <c r="G21" s="12"/>
      <c r="H21" s="75">
        <f t="shared" si="2"/>
        <v>0</v>
      </c>
      <c r="I21" s="76">
        <f t="shared" si="1"/>
        <v>0</v>
      </c>
      <c r="J21" s="12" t="s">
        <v>103</v>
      </c>
      <c r="K21" s="12" t="s">
        <v>83</v>
      </c>
      <c r="L21" s="12"/>
      <c r="M21" s="75" t="s">
        <v>101</v>
      </c>
      <c r="N21" s="75"/>
    </row>
    <row r="22" spans="1:14" s="57" customFormat="1" ht="18" customHeight="1">
      <c r="A22" s="378"/>
      <c r="B22" s="247"/>
      <c r="C22" s="72"/>
      <c r="D22" s="73"/>
      <c r="E22" s="88"/>
      <c r="F22" s="12"/>
      <c r="G22" s="12"/>
      <c r="H22" s="75">
        <f t="shared" si="2"/>
        <v>0</v>
      </c>
      <c r="I22" s="76">
        <f t="shared" si="1"/>
        <v>0</v>
      </c>
      <c r="J22" s="12">
        <v>1</v>
      </c>
      <c r="K22" s="75" t="s">
        <v>286</v>
      </c>
      <c r="L22" s="12">
        <v>10</v>
      </c>
      <c r="M22" s="75" t="s">
        <v>286</v>
      </c>
      <c r="N22" s="75">
        <f>AVERAGE(N4:N6)</f>
        <v>1200000</v>
      </c>
    </row>
    <row r="23" spans="1:14" s="57" customFormat="1" ht="18" customHeight="1">
      <c r="A23" s="378"/>
      <c r="B23" s="247"/>
      <c r="C23" s="72"/>
      <c r="D23" s="73"/>
      <c r="E23" s="74"/>
      <c r="F23" s="12"/>
      <c r="G23" s="12"/>
      <c r="H23" s="75">
        <f t="shared" si="2"/>
        <v>0</v>
      </c>
      <c r="I23" s="76">
        <f t="shared" si="1"/>
        <v>0</v>
      </c>
      <c r="J23" s="12">
        <v>2</v>
      </c>
      <c r="K23" s="75" t="s">
        <v>286</v>
      </c>
      <c r="L23" s="12">
        <v>5</v>
      </c>
      <c r="M23" s="75" t="s">
        <v>286</v>
      </c>
      <c r="N23" s="75">
        <f>AVERAGE(N7:N9)</f>
        <v>600000</v>
      </c>
    </row>
    <row r="24" spans="1:14" s="57" customFormat="1" ht="18" customHeight="1">
      <c r="A24" s="378"/>
      <c r="B24" s="247"/>
      <c r="C24" s="72"/>
      <c r="D24" s="73"/>
      <c r="E24" s="74"/>
      <c r="F24" s="12"/>
      <c r="G24" s="12"/>
      <c r="H24" s="75">
        <f t="shared" si="2"/>
        <v>0</v>
      </c>
      <c r="I24" s="76">
        <f t="shared" si="1"/>
        <v>0</v>
      </c>
      <c r="J24" s="12">
        <v>3</v>
      </c>
      <c r="K24" s="75" t="s">
        <v>286</v>
      </c>
      <c r="L24" s="12">
        <v>2</v>
      </c>
      <c r="M24" s="75" t="s">
        <v>286</v>
      </c>
      <c r="N24" s="75">
        <f>AVERAGE(N10:N11)</f>
        <v>300000</v>
      </c>
    </row>
    <row r="25" spans="1:14" s="57" customFormat="1" ht="18" customHeight="1">
      <c r="A25" s="152"/>
      <c r="B25" s="247"/>
      <c r="C25" s="72"/>
      <c r="D25" s="73"/>
      <c r="E25" s="88"/>
      <c r="F25" s="12"/>
      <c r="G25" s="12"/>
      <c r="H25" s="75">
        <f t="shared" si="2"/>
        <v>0</v>
      </c>
      <c r="I25" s="76">
        <f t="shared" si="1"/>
        <v>0</v>
      </c>
      <c r="J25" s="8"/>
      <c r="K25" s="8"/>
      <c r="L25" s="8"/>
      <c r="M25" s="8"/>
      <c r="N25" s="8"/>
    </row>
    <row r="26" spans="1:14" s="57" customFormat="1" ht="18" customHeight="1">
      <c r="A26" s="152"/>
      <c r="B26" s="247"/>
      <c r="C26" s="73"/>
      <c r="D26" s="105"/>
      <c r="E26" s="88"/>
      <c r="F26" s="72"/>
      <c r="G26" s="72"/>
      <c r="H26" s="75">
        <f t="shared" si="2"/>
        <v>0</v>
      </c>
      <c r="I26" s="76">
        <f t="shared" si="1"/>
        <v>0</v>
      </c>
      <c r="J26" s="8"/>
      <c r="K26" s="8"/>
      <c r="L26" s="8"/>
      <c r="M26" s="8"/>
      <c r="N26" s="8"/>
    </row>
    <row r="27" spans="1:14" s="57" customFormat="1" ht="18" customHeight="1">
      <c r="A27" s="152"/>
      <c r="B27" s="186"/>
      <c r="C27" s="72"/>
      <c r="D27" s="73"/>
      <c r="E27" s="74"/>
      <c r="F27" s="72"/>
      <c r="G27" s="72"/>
      <c r="H27" s="75">
        <f t="shared" si="2"/>
        <v>0</v>
      </c>
      <c r="I27" s="76">
        <f t="shared" si="1"/>
        <v>0</v>
      </c>
      <c r="J27" s="8"/>
      <c r="K27" s="8"/>
      <c r="L27" s="8"/>
      <c r="M27" s="8"/>
      <c r="N27" s="8"/>
    </row>
    <row r="28" spans="1:9" ht="24" customHeight="1">
      <c r="A28" s="1"/>
      <c r="B28" s="3"/>
      <c r="C28" s="106"/>
      <c r="D28" s="107">
        <f>SUM(D4:D27)</f>
        <v>0</v>
      </c>
      <c r="E28" s="106"/>
      <c r="F28" s="3"/>
      <c r="G28" s="108">
        <f>SUM(G4:G27)</f>
        <v>42</v>
      </c>
      <c r="H28" s="108">
        <f>SUM(H4:H27)</f>
        <v>7360000</v>
      </c>
      <c r="I28" s="109"/>
    </row>
  </sheetData>
  <sheetProtection selectLockedCells="1" selectUnlockedCells="1"/>
  <mergeCells count="10">
    <mergeCell ref="C13:C15"/>
    <mergeCell ref="C16:C18"/>
    <mergeCell ref="B1:N1"/>
    <mergeCell ref="B2:N2"/>
    <mergeCell ref="F4:F6"/>
    <mergeCell ref="F7:F9"/>
    <mergeCell ref="F10:F12"/>
    <mergeCell ref="C4:C6"/>
    <mergeCell ref="C7:C9"/>
    <mergeCell ref="C10:C1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portrait" paperSize="9" scale="61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PageLayoutView="0" workbookViewId="0" topLeftCell="A1">
      <selection activeCell="A1" sqref="A1:N28"/>
    </sheetView>
  </sheetViews>
  <sheetFormatPr defaultColWidth="9.140625" defaultRowHeight="12.75"/>
  <cols>
    <col min="1" max="1" width="25.140625" style="54" customWidth="1"/>
    <col min="2" max="2" width="7.8515625" style="55" customWidth="1"/>
    <col min="3" max="3" width="8.421875" style="56" customWidth="1"/>
    <col min="4" max="4" width="6.8515625" style="55" customWidth="1"/>
    <col min="5" max="5" width="8.140625" style="55" customWidth="1"/>
    <col min="6" max="6" width="10.140625" style="55" customWidth="1"/>
    <col min="7" max="7" width="9.140625" style="55" customWidth="1"/>
    <col min="8" max="8" width="13.421875" style="55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57" customFormat="1" ht="43.5" customHeight="1">
      <c r="B1" s="435" t="s">
        <v>195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</row>
    <row r="2" spans="2:14" s="57" customFormat="1" ht="29.25" customHeight="1">
      <c r="B2" s="444" t="s">
        <v>282</v>
      </c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</row>
    <row r="3" spans="1:14" s="70" customFormat="1" ht="27" customHeight="1">
      <c r="A3" s="59" t="s">
        <v>77</v>
      </c>
      <c r="B3" s="60" t="s">
        <v>78</v>
      </c>
      <c r="C3" s="60" t="s">
        <v>79</v>
      </c>
      <c r="D3" s="60" t="s">
        <v>80</v>
      </c>
      <c r="E3" s="60" t="s">
        <v>81</v>
      </c>
      <c r="F3" s="61" t="s">
        <v>82</v>
      </c>
      <c r="G3" s="62" t="s">
        <v>83</v>
      </c>
      <c r="H3" s="63" t="s">
        <v>84</v>
      </c>
      <c r="I3" s="64"/>
      <c r="J3" s="65" t="s">
        <v>82</v>
      </c>
      <c r="K3" s="66"/>
      <c r="L3" s="67"/>
      <c r="M3" s="68" t="s">
        <v>83</v>
      </c>
      <c r="N3" s="69" t="s">
        <v>85</v>
      </c>
    </row>
    <row r="4" spans="1:14" s="81" customFormat="1" ht="18" customHeight="1">
      <c r="A4" s="378" t="s">
        <v>28</v>
      </c>
      <c r="B4" s="247">
        <v>12.2</v>
      </c>
      <c r="C4" s="72">
        <v>39</v>
      </c>
      <c r="D4" s="92">
        <v>34</v>
      </c>
      <c r="E4" s="88"/>
      <c r="F4" s="72">
        <v>1</v>
      </c>
      <c r="G4" s="72">
        <v>10</v>
      </c>
      <c r="H4" s="75">
        <f>N4+I4</f>
        <v>1550000</v>
      </c>
      <c r="I4" s="76">
        <f aca="true" t="shared" si="0" ref="I4:I11">IF(E4&gt;0,$N$13,0)+IF(C4&gt;0,50000,0)+IF(C12&lt;0,50000,0)</f>
        <v>50000</v>
      </c>
      <c r="J4" s="77" t="s">
        <v>86</v>
      </c>
      <c r="K4" s="78"/>
      <c r="L4" s="79"/>
      <c r="M4" s="80">
        <v>10</v>
      </c>
      <c r="N4" s="75">
        <f>N12*25%</f>
        <v>1500000</v>
      </c>
    </row>
    <row r="5" spans="1:14" s="81" customFormat="1" ht="18" customHeight="1">
      <c r="A5" s="378" t="s">
        <v>148</v>
      </c>
      <c r="B5" s="247">
        <v>10.4</v>
      </c>
      <c r="C5" s="72">
        <v>37</v>
      </c>
      <c r="D5" s="92">
        <v>30</v>
      </c>
      <c r="E5" s="74"/>
      <c r="F5" s="72">
        <v>2</v>
      </c>
      <c r="G5" s="72">
        <v>8</v>
      </c>
      <c r="H5" s="75">
        <f aca="true" t="shared" si="1" ref="H5:H10">N5+I5</f>
        <v>1250000</v>
      </c>
      <c r="I5" s="76">
        <f t="shared" si="0"/>
        <v>50000</v>
      </c>
      <c r="J5" s="82" t="s">
        <v>87</v>
      </c>
      <c r="K5" s="83"/>
      <c r="L5" s="84"/>
      <c r="M5" s="85">
        <v>8</v>
      </c>
      <c r="N5" s="75">
        <f>N12*20%</f>
        <v>1200000</v>
      </c>
    </row>
    <row r="6" spans="1:14" s="81" customFormat="1" ht="18" customHeight="1">
      <c r="A6" s="378" t="s">
        <v>38</v>
      </c>
      <c r="B6" s="247">
        <v>14.3</v>
      </c>
      <c r="C6" s="72">
        <v>37</v>
      </c>
      <c r="D6" s="92">
        <v>30</v>
      </c>
      <c r="E6" s="88"/>
      <c r="F6" s="72">
        <v>3</v>
      </c>
      <c r="G6" s="12">
        <v>6</v>
      </c>
      <c r="H6" s="75">
        <f t="shared" si="1"/>
        <v>950000</v>
      </c>
      <c r="I6" s="76">
        <f t="shared" si="0"/>
        <v>50000</v>
      </c>
      <c r="J6" s="82" t="s">
        <v>88</v>
      </c>
      <c r="K6" s="83"/>
      <c r="L6" s="84"/>
      <c r="M6" s="85">
        <v>6</v>
      </c>
      <c r="N6" s="75">
        <f>N12*15%</f>
        <v>900000</v>
      </c>
    </row>
    <row r="7" spans="1:16" s="81" customFormat="1" ht="18" customHeight="1">
      <c r="A7" s="378" t="s">
        <v>44</v>
      </c>
      <c r="B7" s="247">
        <v>15.4</v>
      </c>
      <c r="C7" s="92">
        <v>36</v>
      </c>
      <c r="D7" s="92">
        <v>30</v>
      </c>
      <c r="E7" s="74"/>
      <c r="F7" s="72">
        <v>4</v>
      </c>
      <c r="G7" s="72">
        <v>5</v>
      </c>
      <c r="H7" s="75">
        <f t="shared" si="1"/>
        <v>770000</v>
      </c>
      <c r="I7" s="76">
        <f t="shared" si="0"/>
        <v>50000</v>
      </c>
      <c r="J7" s="82" t="s">
        <v>89</v>
      </c>
      <c r="K7" s="83"/>
      <c r="L7" s="84"/>
      <c r="M7" s="85">
        <v>5</v>
      </c>
      <c r="N7" s="75">
        <f>N12*12%</f>
        <v>720000</v>
      </c>
      <c r="O7" s="86"/>
      <c r="P7" s="87"/>
    </row>
    <row r="8" spans="1:14" s="81" customFormat="1" ht="18" customHeight="1">
      <c r="A8" s="378" t="s">
        <v>36</v>
      </c>
      <c r="B8" s="247">
        <v>18.5</v>
      </c>
      <c r="C8" s="72">
        <v>34</v>
      </c>
      <c r="D8" s="92">
        <v>37</v>
      </c>
      <c r="E8" s="74"/>
      <c r="F8" s="72">
        <v>5</v>
      </c>
      <c r="G8" s="72">
        <v>4</v>
      </c>
      <c r="H8" s="75">
        <f t="shared" si="1"/>
        <v>650000</v>
      </c>
      <c r="I8" s="76">
        <f t="shared" si="0"/>
        <v>50000</v>
      </c>
      <c r="J8" s="82" t="s">
        <v>90</v>
      </c>
      <c r="K8" s="83"/>
      <c r="L8" s="84"/>
      <c r="M8" s="85">
        <v>4</v>
      </c>
      <c r="N8" s="75">
        <f>N12*10%</f>
        <v>600000</v>
      </c>
    </row>
    <row r="9" spans="1:14" s="81" customFormat="1" ht="18" customHeight="1">
      <c r="A9" s="378" t="s">
        <v>14</v>
      </c>
      <c r="B9" s="247">
        <v>11.6</v>
      </c>
      <c r="C9" s="72">
        <v>31</v>
      </c>
      <c r="D9" s="92">
        <v>35</v>
      </c>
      <c r="E9" s="88">
        <v>1.46</v>
      </c>
      <c r="F9" s="72">
        <v>6</v>
      </c>
      <c r="G9" s="89">
        <v>3</v>
      </c>
      <c r="H9" s="75">
        <f t="shared" si="1"/>
        <v>890000</v>
      </c>
      <c r="I9" s="76">
        <f t="shared" si="0"/>
        <v>410000</v>
      </c>
      <c r="J9" s="82" t="s">
        <v>91</v>
      </c>
      <c r="K9" s="83"/>
      <c r="L9" s="84"/>
      <c r="M9" s="85">
        <v>3</v>
      </c>
      <c r="N9" s="75">
        <f>N12*8%</f>
        <v>480000</v>
      </c>
    </row>
    <row r="10" spans="1:14" s="81" customFormat="1" ht="18" customHeight="1">
      <c r="A10" s="378" t="s">
        <v>12</v>
      </c>
      <c r="B10" s="247">
        <v>15.2</v>
      </c>
      <c r="C10" s="72">
        <v>31</v>
      </c>
      <c r="D10" s="92">
        <v>29</v>
      </c>
      <c r="E10" s="74"/>
      <c r="F10" s="72">
        <v>7</v>
      </c>
      <c r="G10" s="72">
        <v>2</v>
      </c>
      <c r="H10" s="75">
        <f t="shared" si="1"/>
        <v>410000</v>
      </c>
      <c r="I10" s="76">
        <f t="shared" si="0"/>
        <v>50000</v>
      </c>
      <c r="J10" s="82" t="s">
        <v>92</v>
      </c>
      <c r="K10" s="83"/>
      <c r="L10" s="84"/>
      <c r="M10" s="85">
        <v>2</v>
      </c>
      <c r="N10" s="75">
        <f>N12*6%</f>
        <v>360000</v>
      </c>
    </row>
    <row r="11" spans="1:14" s="81" customFormat="1" ht="18" customHeight="1">
      <c r="A11" s="378" t="s">
        <v>10</v>
      </c>
      <c r="B11" s="247">
        <v>13.9</v>
      </c>
      <c r="C11" s="72">
        <v>30</v>
      </c>
      <c r="D11" s="92">
        <v>35</v>
      </c>
      <c r="E11" s="88">
        <v>3.74</v>
      </c>
      <c r="F11" s="72">
        <v>8</v>
      </c>
      <c r="G11" s="72">
        <v>1</v>
      </c>
      <c r="H11" s="75">
        <v>390000</v>
      </c>
      <c r="I11" s="76">
        <f t="shared" si="0"/>
        <v>410000</v>
      </c>
      <c r="J11" s="82" t="s">
        <v>93</v>
      </c>
      <c r="K11" s="83"/>
      <c r="L11" s="84"/>
      <c r="M11" s="85">
        <v>1</v>
      </c>
      <c r="N11" s="75">
        <f>N12*4%</f>
        <v>240000</v>
      </c>
    </row>
    <row r="12" spans="1:14" s="81" customFormat="1" ht="18" customHeight="1">
      <c r="A12" s="378" t="s">
        <v>34</v>
      </c>
      <c r="B12" s="247">
        <v>15.5</v>
      </c>
      <c r="C12" s="73">
        <v>30</v>
      </c>
      <c r="D12" s="73">
        <v>36</v>
      </c>
      <c r="E12" s="74">
        <v>14.34</v>
      </c>
      <c r="F12" s="72"/>
      <c r="G12" s="72"/>
      <c r="H12" s="75">
        <v>150000</v>
      </c>
      <c r="I12" s="76">
        <f aca="true" t="shared" si="2" ref="I12:I28">IF(E12&gt;0,$N$13,0)+IF(C12&gt;0,50000,0)+IF(C12&lt;0,50000,0)</f>
        <v>410000</v>
      </c>
      <c r="J12" s="90" t="s">
        <v>94</v>
      </c>
      <c r="K12" s="83"/>
      <c r="L12" s="84"/>
      <c r="M12" s="85"/>
      <c r="N12" s="91">
        <v>6000000</v>
      </c>
    </row>
    <row r="13" spans="1:14" s="81" customFormat="1" ht="18" customHeight="1">
      <c r="A13" s="378" t="s">
        <v>8</v>
      </c>
      <c r="B13" s="247">
        <v>20.9</v>
      </c>
      <c r="C13" s="72">
        <v>29</v>
      </c>
      <c r="D13" s="73">
        <v>41</v>
      </c>
      <c r="E13" s="88">
        <v>5.08</v>
      </c>
      <c r="F13" s="72"/>
      <c r="G13" s="72"/>
      <c r="H13" s="75">
        <v>150000</v>
      </c>
      <c r="I13" s="76">
        <f t="shared" si="2"/>
        <v>410000</v>
      </c>
      <c r="J13" s="93" t="s">
        <v>95</v>
      </c>
      <c r="K13" s="94"/>
      <c r="L13" s="95"/>
      <c r="M13" s="96">
        <v>1</v>
      </c>
      <c r="N13" s="97">
        <f>N10</f>
        <v>360000</v>
      </c>
    </row>
    <row r="14" spans="1:14" s="81" customFormat="1" ht="18" customHeight="1">
      <c r="A14" s="378" t="s">
        <v>22</v>
      </c>
      <c r="B14" s="247">
        <v>12.5</v>
      </c>
      <c r="C14" s="73">
        <v>28</v>
      </c>
      <c r="D14" s="92">
        <v>34</v>
      </c>
      <c r="E14" s="88"/>
      <c r="F14" s="72"/>
      <c r="G14" s="72"/>
      <c r="H14" s="75">
        <f aca="true" t="shared" si="3" ref="H14:H28">I14</f>
        <v>50000</v>
      </c>
      <c r="I14" s="76">
        <f t="shared" si="2"/>
        <v>50000</v>
      </c>
      <c r="J14" s="98"/>
      <c r="K14" s="94"/>
      <c r="L14" s="94"/>
      <c r="M14" s="99"/>
      <c r="N14" s="100"/>
    </row>
    <row r="15" spans="1:14" s="81" customFormat="1" ht="18" customHeight="1">
      <c r="A15" s="378" t="s">
        <v>30</v>
      </c>
      <c r="B15" s="247">
        <v>10</v>
      </c>
      <c r="C15" s="73">
        <v>27</v>
      </c>
      <c r="D15" s="92">
        <v>35</v>
      </c>
      <c r="E15" s="74"/>
      <c r="F15" s="72"/>
      <c r="G15" s="72"/>
      <c r="H15" s="75">
        <f t="shared" si="3"/>
        <v>50000</v>
      </c>
      <c r="I15" s="76">
        <f t="shared" si="2"/>
        <v>50000</v>
      </c>
      <c r="J15" s="101"/>
      <c r="K15" s="102"/>
      <c r="L15" s="102"/>
      <c r="M15" s="103"/>
      <c r="N15" s="104"/>
    </row>
    <row r="16" spans="1:9" s="81" customFormat="1" ht="18" customHeight="1">
      <c r="A16" s="378" t="s">
        <v>18</v>
      </c>
      <c r="B16" s="247">
        <v>14.1</v>
      </c>
      <c r="C16" s="72">
        <v>26</v>
      </c>
      <c r="D16" s="92">
        <v>37</v>
      </c>
      <c r="E16" s="74"/>
      <c r="F16" s="12"/>
      <c r="G16" s="12"/>
      <c r="H16" s="75">
        <f t="shared" si="3"/>
        <v>50000</v>
      </c>
      <c r="I16" s="76">
        <f t="shared" si="2"/>
        <v>50000</v>
      </c>
    </row>
    <row r="17" spans="1:16" s="81" customFormat="1" ht="18" customHeight="1">
      <c r="A17" s="378" t="s">
        <v>46</v>
      </c>
      <c r="B17" s="247">
        <v>22</v>
      </c>
      <c r="C17" s="12">
        <v>24</v>
      </c>
      <c r="D17" s="92">
        <v>43</v>
      </c>
      <c r="E17" s="74"/>
      <c r="F17" s="12"/>
      <c r="G17" s="12"/>
      <c r="H17" s="75">
        <f t="shared" si="3"/>
        <v>50000</v>
      </c>
      <c r="I17" s="76">
        <f t="shared" si="2"/>
        <v>50000</v>
      </c>
      <c r="O17" s="86"/>
      <c r="P17" s="87"/>
    </row>
    <row r="18" spans="1:12" s="81" customFormat="1" ht="18" customHeight="1">
      <c r="A18" s="378" t="s">
        <v>42</v>
      </c>
      <c r="B18" s="247">
        <v>18.1</v>
      </c>
      <c r="C18" s="73">
        <v>23</v>
      </c>
      <c r="D18" s="73">
        <v>42</v>
      </c>
      <c r="E18" s="74">
        <v>3.07</v>
      </c>
      <c r="F18" s="72"/>
      <c r="G18" s="72"/>
      <c r="H18" s="75">
        <v>150000</v>
      </c>
      <c r="I18" s="76">
        <f t="shared" si="2"/>
        <v>410000</v>
      </c>
      <c r="J18" s="87"/>
      <c r="K18" s="87"/>
      <c r="L18" s="87"/>
    </row>
    <row r="19" spans="1:12" s="81" customFormat="1" ht="18" customHeight="1">
      <c r="A19" s="378" t="s">
        <v>16</v>
      </c>
      <c r="B19" s="247">
        <v>19.6</v>
      </c>
      <c r="C19" s="72">
        <v>22</v>
      </c>
      <c r="D19" s="92">
        <v>36</v>
      </c>
      <c r="E19" s="74"/>
      <c r="F19" s="72"/>
      <c r="G19" s="72"/>
      <c r="H19" s="75">
        <f t="shared" si="3"/>
        <v>50000</v>
      </c>
      <c r="I19" s="76">
        <f t="shared" si="2"/>
        <v>50000</v>
      </c>
      <c r="J19" s="87"/>
      <c r="K19" s="87"/>
      <c r="L19" s="87"/>
    </row>
    <row r="20" spans="1:9" s="57" customFormat="1" ht="18" customHeight="1">
      <c r="A20" s="378"/>
      <c r="B20" s="247"/>
      <c r="C20" s="72"/>
      <c r="D20" s="92"/>
      <c r="E20" s="74"/>
      <c r="F20" s="12"/>
      <c r="G20" s="12"/>
      <c r="H20" s="75">
        <f t="shared" si="3"/>
        <v>0</v>
      </c>
      <c r="I20" s="76">
        <f t="shared" si="2"/>
        <v>0</v>
      </c>
    </row>
    <row r="21" spans="1:9" s="57" customFormat="1" ht="18" customHeight="1">
      <c r="A21" s="378"/>
      <c r="B21" s="247"/>
      <c r="C21" s="72"/>
      <c r="D21" s="92"/>
      <c r="E21" s="74"/>
      <c r="F21" s="12"/>
      <c r="G21" s="12"/>
      <c r="H21" s="75">
        <f t="shared" si="3"/>
        <v>0</v>
      </c>
      <c r="I21" s="76">
        <f t="shared" si="2"/>
        <v>0</v>
      </c>
    </row>
    <row r="22" spans="1:9" s="57" customFormat="1" ht="18" customHeight="1">
      <c r="A22" s="378"/>
      <c r="B22" s="247"/>
      <c r="C22" s="72"/>
      <c r="D22" s="73"/>
      <c r="E22" s="74"/>
      <c r="F22" s="12"/>
      <c r="G22" s="12"/>
      <c r="H22" s="75">
        <f t="shared" si="3"/>
        <v>0</v>
      </c>
      <c r="I22" s="76">
        <f t="shared" si="2"/>
        <v>0</v>
      </c>
    </row>
    <row r="23" spans="1:9" s="57" customFormat="1" ht="18" customHeight="1">
      <c r="A23" s="378"/>
      <c r="B23" s="247"/>
      <c r="C23" s="72"/>
      <c r="D23" s="92"/>
      <c r="E23" s="74"/>
      <c r="F23" s="12"/>
      <c r="G23" s="12"/>
      <c r="H23" s="75">
        <f t="shared" si="3"/>
        <v>0</v>
      </c>
      <c r="I23" s="76">
        <f t="shared" si="2"/>
        <v>0</v>
      </c>
    </row>
    <row r="24" spans="1:9" s="57" customFormat="1" ht="18" customHeight="1">
      <c r="A24" s="378"/>
      <c r="B24" s="247"/>
      <c r="C24" s="73"/>
      <c r="D24" s="92"/>
      <c r="E24" s="74"/>
      <c r="F24" s="12"/>
      <c r="G24" s="12"/>
      <c r="H24" s="75">
        <f t="shared" si="3"/>
        <v>0</v>
      </c>
      <c r="I24" s="76">
        <f t="shared" si="2"/>
        <v>0</v>
      </c>
    </row>
    <row r="25" spans="1:9" s="57" customFormat="1" ht="18" customHeight="1">
      <c r="A25" s="378"/>
      <c r="B25" s="247"/>
      <c r="C25" s="73"/>
      <c r="D25" s="92"/>
      <c r="E25" s="74"/>
      <c r="F25" s="12"/>
      <c r="G25" s="12"/>
      <c r="H25" s="75">
        <f>I25</f>
        <v>0</v>
      </c>
      <c r="I25" s="76">
        <f t="shared" si="2"/>
        <v>0</v>
      </c>
    </row>
    <row r="26" spans="1:9" s="57" customFormat="1" ht="18" customHeight="1">
      <c r="A26" s="378"/>
      <c r="B26" s="247"/>
      <c r="C26" s="72"/>
      <c r="D26" s="92"/>
      <c r="E26" s="88"/>
      <c r="F26" s="12"/>
      <c r="G26" s="12"/>
      <c r="H26" s="75">
        <f t="shared" si="3"/>
        <v>0</v>
      </c>
      <c r="I26" s="76">
        <f t="shared" si="2"/>
        <v>0</v>
      </c>
    </row>
    <row r="27" spans="1:9" s="57" customFormat="1" ht="18" customHeight="1">
      <c r="A27" s="378"/>
      <c r="B27" s="247"/>
      <c r="C27" s="73"/>
      <c r="D27" s="92"/>
      <c r="E27" s="88"/>
      <c r="F27" s="72"/>
      <c r="G27" s="72"/>
      <c r="H27" s="75">
        <f t="shared" si="3"/>
        <v>0</v>
      </c>
      <c r="I27" s="76">
        <f t="shared" si="2"/>
        <v>0</v>
      </c>
    </row>
    <row r="28" spans="1:9" s="57" customFormat="1" ht="18" customHeight="1">
      <c r="A28" s="152"/>
      <c r="B28" s="186"/>
      <c r="C28" s="72"/>
      <c r="D28" s="73"/>
      <c r="E28" s="74"/>
      <c r="F28" s="72"/>
      <c r="G28" s="72"/>
      <c r="H28" s="75">
        <f t="shared" si="3"/>
        <v>0</v>
      </c>
      <c r="I28" s="76">
        <f t="shared" si="2"/>
        <v>0</v>
      </c>
    </row>
    <row r="29" spans="1:9" ht="18" customHeight="1">
      <c r="A29" s="1"/>
      <c r="B29" s="3"/>
      <c r="C29" s="106"/>
      <c r="D29" s="107">
        <f>SUM(D4:D28)</f>
        <v>564</v>
      </c>
      <c r="E29" s="106"/>
      <c r="F29" s="3"/>
      <c r="G29" s="108">
        <f>SUM(G4:G28)</f>
        <v>39</v>
      </c>
      <c r="H29" s="108">
        <f>SUM(H4:H28)</f>
        <v>7560000</v>
      </c>
      <c r="I29" s="109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zoomScalePageLayoutView="0" workbookViewId="0" topLeftCell="A1">
      <selection activeCell="A1" sqref="A1:N28"/>
    </sheetView>
  </sheetViews>
  <sheetFormatPr defaultColWidth="9.140625" defaultRowHeight="12.75"/>
  <cols>
    <col min="1" max="1" width="25.140625" style="54" customWidth="1"/>
    <col min="2" max="2" width="7.8515625" style="55" customWidth="1"/>
    <col min="3" max="3" width="8.421875" style="56" customWidth="1"/>
    <col min="4" max="4" width="6.8515625" style="55" customWidth="1"/>
    <col min="5" max="5" width="8.140625" style="55" customWidth="1"/>
    <col min="6" max="6" width="10.140625" style="55" customWidth="1"/>
    <col min="7" max="7" width="9.140625" style="55" customWidth="1"/>
    <col min="8" max="8" width="13.421875" style="55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57" customFormat="1" ht="42.75" customHeight="1">
      <c r="B1" s="435" t="s">
        <v>277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</row>
    <row r="2" spans="2:14" s="57" customFormat="1" ht="29.25" customHeight="1">
      <c r="B2" s="444" t="s">
        <v>281</v>
      </c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</row>
    <row r="3" spans="1:14" s="70" customFormat="1" ht="27" customHeight="1">
      <c r="A3" s="59" t="s">
        <v>77</v>
      </c>
      <c r="B3" s="60" t="s">
        <v>78</v>
      </c>
      <c r="C3" s="60" t="s">
        <v>79</v>
      </c>
      <c r="D3" s="60" t="s">
        <v>80</v>
      </c>
      <c r="E3" s="60" t="s">
        <v>81</v>
      </c>
      <c r="F3" s="61" t="s">
        <v>82</v>
      </c>
      <c r="G3" s="62" t="s">
        <v>83</v>
      </c>
      <c r="H3" s="63" t="s">
        <v>84</v>
      </c>
      <c r="I3" s="64"/>
      <c r="J3" s="65" t="s">
        <v>82</v>
      </c>
      <c r="K3" s="66"/>
      <c r="L3" s="67"/>
      <c r="M3" s="68" t="s">
        <v>83</v>
      </c>
      <c r="N3" s="69" t="s">
        <v>85</v>
      </c>
    </row>
    <row r="4" spans="1:14" s="81" customFormat="1" ht="18" customHeight="1">
      <c r="A4" s="378" t="s">
        <v>38</v>
      </c>
      <c r="B4" s="247">
        <v>14.2</v>
      </c>
      <c r="C4" s="72">
        <v>35</v>
      </c>
      <c r="D4" s="73">
        <v>32</v>
      </c>
      <c r="E4" s="88"/>
      <c r="F4" s="72">
        <v>1</v>
      </c>
      <c r="G4" s="72">
        <v>10</v>
      </c>
      <c r="H4" s="75">
        <f aca="true" t="shared" si="0" ref="H4:H11">N4+I4</f>
        <v>1300000</v>
      </c>
      <c r="I4" s="76">
        <f>IF(E4&gt;0,$N$13,0)+IF(C4&gt;0,50000,0)+IF(C12&lt;0,50000,0)</f>
        <v>50000</v>
      </c>
      <c r="J4" s="77" t="s">
        <v>86</v>
      </c>
      <c r="K4" s="78"/>
      <c r="L4" s="79"/>
      <c r="M4" s="80">
        <v>10</v>
      </c>
      <c r="N4" s="75">
        <f>N12*25%</f>
        <v>1250000</v>
      </c>
    </row>
    <row r="5" spans="1:14" s="81" customFormat="1" ht="18" customHeight="1">
      <c r="A5" s="378" t="s">
        <v>48</v>
      </c>
      <c r="B5" s="247">
        <v>7.9</v>
      </c>
      <c r="C5" s="72">
        <v>34</v>
      </c>
      <c r="D5" s="92">
        <v>29</v>
      </c>
      <c r="E5" s="74"/>
      <c r="F5" s="72">
        <v>2</v>
      </c>
      <c r="G5" s="72">
        <v>8</v>
      </c>
      <c r="H5" s="75">
        <f t="shared" si="0"/>
        <v>1050000</v>
      </c>
      <c r="I5" s="76">
        <f>IF(E5&gt;0,$N$13,0)+IF(C5&gt;0,50000,0)+IF(C13&lt;0,50000,0)</f>
        <v>50000</v>
      </c>
      <c r="J5" s="82" t="s">
        <v>87</v>
      </c>
      <c r="K5" s="83"/>
      <c r="L5" s="84"/>
      <c r="M5" s="85">
        <v>8</v>
      </c>
      <c r="N5" s="75">
        <f>N12*20%</f>
        <v>1000000</v>
      </c>
    </row>
    <row r="6" spans="1:14" s="81" customFormat="1" ht="18" customHeight="1">
      <c r="A6" s="378" t="s">
        <v>36</v>
      </c>
      <c r="B6" s="247">
        <v>18.4</v>
      </c>
      <c r="C6" s="73">
        <v>34</v>
      </c>
      <c r="D6" s="92">
        <v>31</v>
      </c>
      <c r="E6" s="88">
        <v>7.11</v>
      </c>
      <c r="F6" s="12">
        <v>3</v>
      </c>
      <c r="G6" s="12">
        <v>6</v>
      </c>
      <c r="H6" s="75">
        <f t="shared" si="0"/>
        <v>1100000</v>
      </c>
      <c r="I6" s="76">
        <f aca="true" t="shared" si="1" ref="I6:I11">IF(E6&gt;0,$N$13,0)+IF(C6&gt;0,50000,0)+IF(C14&lt;0,50000,0)</f>
        <v>350000</v>
      </c>
      <c r="J6" s="82" t="s">
        <v>88</v>
      </c>
      <c r="K6" s="83"/>
      <c r="L6" s="84"/>
      <c r="M6" s="85">
        <v>6</v>
      </c>
      <c r="N6" s="75">
        <f>N12*15%</f>
        <v>750000</v>
      </c>
    </row>
    <row r="7" spans="1:18" s="81" customFormat="1" ht="18" customHeight="1">
      <c r="A7" s="378" t="s">
        <v>28</v>
      </c>
      <c r="B7" s="247">
        <v>12.1</v>
      </c>
      <c r="C7" s="73">
        <v>33</v>
      </c>
      <c r="D7" s="73">
        <v>32</v>
      </c>
      <c r="E7" s="88"/>
      <c r="F7" s="72">
        <v>4</v>
      </c>
      <c r="G7" s="72">
        <v>5</v>
      </c>
      <c r="H7" s="75">
        <f t="shared" si="0"/>
        <v>650000</v>
      </c>
      <c r="I7" s="76">
        <f t="shared" si="1"/>
        <v>50000</v>
      </c>
      <c r="J7" s="82" t="s">
        <v>89</v>
      </c>
      <c r="K7" s="83"/>
      <c r="L7" s="84"/>
      <c r="M7" s="85">
        <v>5</v>
      </c>
      <c r="N7" s="75">
        <f>N12*12%</f>
        <v>600000</v>
      </c>
      <c r="O7" s="86"/>
      <c r="P7" s="86"/>
      <c r="Q7" s="86"/>
      <c r="R7" s="87"/>
    </row>
    <row r="8" spans="1:14" s="81" customFormat="1" ht="18" customHeight="1">
      <c r="A8" s="378" t="s">
        <v>42</v>
      </c>
      <c r="B8" s="247">
        <v>18</v>
      </c>
      <c r="C8" s="72">
        <v>33</v>
      </c>
      <c r="D8" s="73">
        <v>33</v>
      </c>
      <c r="E8" s="74" t="s">
        <v>275</v>
      </c>
      <c r="F8" s="72">
        <v>5</v>
      </c>
      <c r="G8" s="72">
        <v>4</v>
      </c>
      <c r="H8" s="75">
        <f t="shared" si="0"/>
        <v>850000</v>
      </c>
      <c r="I8" s="76">
        <f t="shared" si="1"/>
        <v>350000</v>
      </c>
      <c r="J8" s="82" t="s">
        <v>90</v>
      </c>
      <c r="K8" s="83"/>
      <c r="L8" s="84"/>
      <c r="M8" s="85">
        <v>4</v>
      </c>
      <c r="N8" s="75">
        <f>N12*10%</f>
        <v>500000</v>
      </c>
    </row>
    <row r="9" spans="1:14" s="81" customFormat="1" ht="18" customHeight="1">
      <c r="A9" s="378" t="s">
        <v>14</v>
      </c>
      <c r="B9" s="247">
        <v>11.5</v>
      </c>
      <c r="C9" s="73">
        <v>32</v>
      </c>
      <c r="D9" s="73">
        <v>33</v>
      </c>
      <c r="E9" s="88"/>
      <c r="F9" s="89">
        <v>6</v>
      </c>
      <c r="G9" s="89">
        <v>3</v>
      </c>
      <c r="H9" s="75">
        <f t="shared" si="0"/>
        <v>450000</v>
      </c>
      <c r="I9" s="76">
        <f t="shared" si="1"/>
        <v>50000</v>
      </c>
      <c r="J9" s="82" t="s">
        <v>91</v>
      </c>
      <c r="K9" s="83"/>
      <c r="L9" s="84"/>
      <c r="M9" s="85">
        <v>3</v>
      </c>
      <c r="N9" s="75">
        <f>N12*8%</f>
        <v>400000</v>
      </c>
    </row>
    <row r="10" spans="1:14" s="81" customFormat="1" ht="18" customHeight="1">
      <c r="A10" s="378" t="s">
        <v>44</v>
      </c>
      <c r="B10" s="247">
        <v>15.2</v>
      </c>
      <c r="C10" s="73">
        <v>31</v>
      </c>
      <c r="D10" s="73">
        <v>31</v>
      </c>
      <c r="E10" s="74"/>
      <c r="F10" s="72">
        <v>7</v>
      </c>
      <c r="G10" s="72">
        <v>2</v>
      </c>
      <c r="H10" s="75">
        <f t="shared" si="0"/>
        <v>350000</v>
      </c>
      <c r="I10" s="76">
        <f t="shared" si="1"/>
        <v>50000</v>
      </c>
      <c r="J10" s="82" t="s">
        <v>92</v>
      </c>
      <c r="K10" s="83"/>
      <c r="L10" s="84"/>
      <c r="M10" s="85">
        <v>2</v>
      </c>
      <c r="N10" s="75">
        <f>N12*6%</f>
        <v>300000</v>
      </c>
    </row>
    <row r="11" spans="1:14" s="81" customFormat="1" ht="18" customHeight="1">
      <c r="A11" s="378" t="s">
        <v>40</v>
      </c>
      <c r="B11" s="247">
        <v>21.9</v>
      </c>
      <c r="C11" s="72">
        <v>30</v>
      </c>
      <c r="D11" s="73">
        <v>35</v>
      </c>
      <c r="E11" s="74"/>
      <c r="F11" s="72">
        <v>8</v>
      </c>
      <c r="G11" s="72">
        <v>1</v>
      </c>
      <c r="H11" s="75">
        <f t="shared" si="0"/>
        <v>250000</v>
      </c>
      <c r="I11" s="76">
        <f t="shared" si="1"/>
        <v>50000</v>
      </c>
      <c r="J11" s="82" t="s">
        <v>93</v>
      </c>
      <c r="K11" s="83"/>
      <c r="L11" s="84"/>
      <c r="M11" s="85">
        <v>1</v>
      </c>
      <c r="N11" s="75">
        <f>N12*4%</f>
        <v>200000</v>
      </c>
    </row>
    <row r="12" spans="1:14" s="81" customFormat="1" ht="18" customHeight="1">
      <c r="A12" s="378" t="s">
        <v>22</v>
      </c>
      <c r="B12" s="247">
        <v>12.3</v>
      </c>
      <c r="C12" s="72">
        <v>29</v>
      </c>
      <c r="D12" s="73">
        <v>34</v>
      </c>
      <c r="E12" s="74"/>
      <c r="F12" s="72"/>
      <c r="G12" s="72"/>
      <c r="H12" s="75">
        <f>I12</f>
        <v>50000</v>
      </c>
      <c r="I12" s="76">
        <f aca="true" t="shared" si="2" ref="I12:I23">IF(E12&gt;0,$N$13,0)+IF(C12&gt;0,50000,0)+IF(C12&lt;0,50000,0)</f>
        <v>50000</v>
      </c>
      <c r="J12" s="90" t="s">
        <v>94</v>
      </c>
      <c r="K12" s="83"/>
      <c r="L12" s="84"/>
      <c r="M12" s="85"/>
      <c r="N12" s="91">
        <v>5000000</v>
      </c>
    </row>
    <row r="13" spans="1:14" s="81" customFormat="1" ht="18" customHeight="1">
      <c r="A13" s="378" t="s">
        <v>166</v>
      </c>
      <c r="B13" s="247">
        <v>15.1</v>
      </c>
      <c r="C13" s="72">
        <v>29</v>
      </c>
      <c r="D13" s="73">
        <v>33</v>
      </c>
      <c r="E13" s="74">
        <v>10.43</v>
      </c>
      <c r="F13" s="72"/>
      <c r="G13" s="72"/>
      <c r="H13" s="75">
        <f aca="true" t="shared" si="3" ref="H13:H28">I13</f>
        <v>350000</v>
      </c>
      <c r="I13" s="76">
        <f t="shared" si="2"/>
        <v>350000</v>
      </c>
      <c r="J13" s="93" t="s">
        <v>95</v>
      </c>
      <c r="K13" s="94"/>
      <c r="L13" s="95"/>
      <c r="M13" s="96">
        <v>1</v>
      </c>
      <c r="N13" s="97">
        <f>N10</f>
        <v>300000</v>
      </c>
    </row>
    <row r="14" spans="1:14" s="81" customFormat="1" ht="18" customHeight="1">
      <c r="A14" s="378" t="s">
        <v>10</v>
      </c>
      <c r="B14" s="247">
        <v>13.7</v>
      </c>
      <c r="C14" s="72">
        <v>28</v>
      </c>
      <c r="D14" s="358">
        <v>34</v>
      </c>
      <c r="E14" s="74"/>
      <c r="F14" s="72"/>
      <c r="G14" s="72"/>
      <c r="H14" s="75">
        <f t="shared" si="3"/>
        <v>50000</v>
      </c>
      <c r="I14" s="76">
        <f>IF(E14&gt;0,$N$13,0)+IF(C14&gt;0,50000,0)+IF(C14&lt;0,50000,0)</f>
        <v>50000</v>
      </c>
      <c r="J14" s="98"/>
      <c r="K14" s="94"/>
      <c r="L14" s="94"/>
      <c r="M14" s="99"/>
      <c r="N14" s="100"/>
    </row>
    <row r="15" spans="1:14" s="81" customFormat="1" ht="18" customHeight="1">
      <c r="A15" s="378" t="s">
        <v>30</v>
      </c>
      <c r="B15" s="247">
        <v>9.8</v>
      </c>
      <c r="C15" s="72">
        <v>27</v>
      </c>
      <c r="D15" s="73">
        <v>34</v>
      </c>
      <c r="E15" s="88">
        <v>9.62</v>
      </c>
      <c r="F15" s="72"/>
      <c r="G15" s="72"/>
      <c r="H15" s="75">
        <f t="shared" si="3"/>
        <v>350000</v>
      </c>
      <c r="I15" s="76">
        <f t="shared" si="2"/>
        <v>350000</v>
      </c>
      <c r="J15" s="101"/>
      <c r="K15" s="102"/>
      <c r="L15" s="102"/>
      <c r="M15" s="103"/>
      <c r="N15" s="104"/>
    </row>
    <row r="16" spans="1:9" s="81" customFormat="1" ht="18" customHeight="1">
      <c r="A16" s="378" t="s">
        <v>18</v>
      </c>
      <c r="B16" s="247">
        <v>13.9</v>
      </c>
      <c r="C16" s="12">
        <v>26</v>
      </c>
      <c r="D16" s="92">
        <v>38</v>
      </c>
      <c r="E16" s="88"/>
      <c r="F16" s="12"/>
      <c r="G16" s="12"/>
      <c r="H16" s="75">
        <f t="shared" si="3"/>
        <v>50000</v>
      </c>
      <c r="I16" s="76">
        <f t="shared" si="2"/>
        <v>50000</v>
      </c>
    </row>
    <row r="17" spans="1:18" s="81" customFormat="1" ht="18" customHeight="1">
      <c r="A17" s="378" t="s">
        <v>26</v>
      </c>
      <c r="B17" s="247">
        <v>22.9</v>
      </c>
      <c r="C17" s="72">
        <v>26</v>
      </c>
      <c r="D17" s="92">
        <v>38</v>
      </c>
      <c r="E17" s="74"/>
      <c r="F17" s="12"/>
      <c r="G17" s="12"/>
      <c r="H17" s="75">
        <f t="shared" si="3"/>
        <v>50000</v>
      </c>
      <c r="I17" s="76">
        <f t="shared" si="2"/>
        <v>50000</v>
      </c>
      <c r="O17" s="86"/>
      <c r="P17" s="86"/>
      <c r="Q17" s="86"/>
      <c r="R17" s="87"/>
    </row>
    <row r="18" spans="1:13" s="81" customFormat="1" ht="18" customHeight="1">
      <c r="A18" s="378" t="s">
        <v>34</v>
      </c>
      <c r="B18" s="247">
        <v>15.4</v>
      </c>
      <c r="C18" s="72">
        <v>25</v>
      </c>
      <c r="D18" s="92">
        <v>36</v>
      </c>
      <c r="E18" s="74"/>
      <c r="F18" s="72"/>
      <c r="G18" s="72"/>
      <c r="H18" s="75">
        <f t="shared" si="3"/>
        <v>50000</v>
      </c>
      <c r="I18" s="76">
        <f t="shared" si="2"/>
        <v>50000</v>
      </c>
      <c r="J18" s="87"/>
      <c r="K18" s="87"/>
      <c r="L18" s="87"/>
      <c r="M18" s="87"/>
    </row>
    <row r="19" spans="1:13" s="81" customFormat="1" ht="18" customHeight="1">
      <c r="A19" s="378" t="s">
        <v>16</v>
      </c>
      <c r="B19" s="247">
        <v>19.4</v>
      </c>
      <c r="C19" s="72">
        <v>25</v>
      </c>
      <c r="D19" s="92">
        <v>36</v>
      </c>
      <c r="E19" s="74"/>
      <c r="F19" s="72"/>
      <c r="G19" s="72"/>
      <c r="H19" s="75">
        <f t="shared" si="3"/>
        <v>50000</v>
      </c>
      <c r="I19" s="76">
        <f t="shared" si="2"/>
        <v>50000</v>
      </c>
      <c r="J19" s="87"/>
      <c r="K19" s="87"/>
      <c r="L19" s="87"/>
      <c r="M19" s="87"/>
    </row>
    <row r="20" spans="1:9" s="57" customFormat="1" ht="18" customHeight="1">
      <c r="A20" s="378" t="s">
        <v>8</v>
      </c>
      <c r="B20" s="247">
        <v>20.7</v>
      </c>
      <c r="C20" s="72">
        <v>23</v>
      </c>
      <c r="D20" s="73">
        <v>39</v>
      </c>
      <c r="E20" s="74"/>
      <c r="F20" s="12"/>
      <c r="G20" s="12"/>
      <c r="H20" s="75">
        <f t="shared" si="3"/>
        <v>50000</v>
      </c>
      <c r="I20" s="76">
        <f t="shared" si="2"/>
        <v>50000</v>
      </c>
    </row>
    <row r="21" spans="1:9" s="57" customFormat="1" ht="18" customHeight="1">
      <c r="A21" s="378" t="s">
        <v>46</v>
      </c>
      <c r="B21" s="247">
        <v>21.8</v>
      </c>
      <c r="C21" s="72">
        <v>21</v>
      </c>
      <c r="D21" s="73">
        <v>38</v>
      </c>
      <c r="E21" s="74"/>
      <c r="F21" s="12"/>
      <c r="G21" s="12"/>
      <c r="H21" s="75">
        <f t="shared" si="3"/>
        <v>50000</v>
      </c>
      <c r="I21" s="76">
        <f t="shared" si="2"/>
        <v>50000</v>
      </c>
    </row>
    <row r="22" spans="1:9" s="57" customFormat="1" ht="18" customHeight="1">
      <c r="A22" s="152"/>
      <c r="B22" s="247"/>
      <c r="C22" s="73"/>
      <c r="D22" s="73"/>
      <c r="E22" s="74"/>
      <c r="F22" s="12"/>
      <c r="G22" s="12"/>
      <c r="H22" s="75">
        <f t="shared" si="3"/>
        <v>0</v>
      </c>
      <c r="I22" s="76">
        <f t="shared" si="2"/>
        <v>0</v>
      </c>
    </row>
    <row r="23" spans="1:9" s="57" customFormat="1" ht="18" customHeight="1">
      <c r="A23" s="152"/>
      <c r="B23" s="247"/>
      <c r="C23" s="72"/>
      <c r="D23" s="73"/>
      <c r="E23" s="74"/>
      <c r="F23" s="12"/>
      <c r="G23" s="12"/>
      <c r="H23" s="75">
        <f t="shared" si="3"/>
        <v>0</v>
      </c>
      <c r="I23" s="76">
        <f t="shared" si="2"/>
        <v>0</v>
      </c>
    </row>
    <row r="24" spans="1:9" s="57" customFormat="1" ht="18" customHeight="1">
      <c r="A24" s="152"/>
      <c r="B24" s="247"/>
      <c r="C24" s="72"/>
      <c r="D24" s="73"/>
      <c r="E24" s="74"/>
      <c r="F24" s="12"/>
      <c r="G24" s="12"/>
      <c r="H24" s="75">
        <f t="shared" si="3"/>
        <v>0</v>
      </c>
      <c r="I24" s="76">
        <f>IF(E24&gt;0,$N$13,0)+IF(C24&gt;0,50000,0)+IF(C24&lt;0,50000,0)</f>
        <v>0</v>
      </c>
    </row>
    <row r="25" spans="1:9" s="57" customFormat="1" ht="18" customHeight="1">
      <c r="A25" s="152"/>
      <c r="B25" s="247"/>
      <c r="C25" s="72"/>
      <c r="D25" s="92"/>
      <c r="E25" s="74"/>
      <c r="F25" s="12"/>
      <c r="G25" s="12"/>
      <c r="H25" s="75">
        <f t="shared" si="3"/>
        <v>0</v>
      </c>
      <c r="I25" s="76">
        <f>IF(E25&gt;0,$N$13,0)+IF(C25&gt;0,50000,0)+IF(C25&lt;0,50000,0)</f>
        <v>0</v>
      </c>
    </row>
    <row r="26" spans="1:9" s="57" customFormat="1" ht="18" customHeight="1">
      <c r="A26" s="152"/>
      <c r="B26" s="247"/>
      <c r="C26" s="72"/>
      <c r="D26" s="92"/>
      <c r="E26" s="88"/>
      <c r="F26" s="12"/>
      <c r="G26" s="12"/>
      <c r="H26" s="75">
        <f t="shared" si="3"/>
        <v>0</v>
      </c>
      <c r="I26" s="76">
        <f>IF(E26&gt;0,$N$13,0)+IF(C26&gt;0,50000,0)+IF(C26&lt;0,50000,0)</f>
        <v>0</v>
      </c>
    </row>
    <row r="27" spans="1:9" s="57" customFormat="1" ht="18" customHeight="1">
      <c r="A27" s="152"/>
      <c r="B27" s="247"/>
      <c r="C27" s="73"/>
      <c r="D27" s="73"/>
      <c r="E27" s="88"/>
      <c r="F27" s="72"/>
      <c r="G27" s="72"/>
      <c r="H27" s="75">
        <f t="shared" si="3"/>
        <v>0</v>
      </c>
      <c r="I27" s="76">
        <f>IF(E27&gt;0,$N$13,0)+IF(C27&gt;0,50000,0)+IF(C27&lt;0,50000,0)</f>
        <v>0</v>
      </c>
    </row>
    <row r="28" spans="1:9" s="57" customFormat="1" ht="18" customHeight="1">
      <c r="A28" s="152"/>
      <c r="B28" s="247"/>
      <c r="C28" s="92"/>
      <c r="D28" s="73"/>
      <c r="E28" s="74"/>
      <c r="F28" s="72"/>
      <c r="G28" s="72"/>
      <c r="H28" s="75">
        <f t="shared" si="3"/>
        <v>0</v>
      </c>
      <c r="I28" s="76">
        <f>IF(E28&gt;0,$N$13,0)+IF(C28&gt;0,50000,0)+IF(C28&lt;0,50000,0)</f>
        <v>0</v>
      </c>
    </row>
    <row r="29" spans="1:9" ht="24" customHeight="1">
      <c r="A29" s="1"/>
      <c r="B29" s="3"/>
      <c r="C29" s="106"/>
      <c r="D29" s="107">
        <f>SUM(D4:D28)</f>
        <v>616</v>
      </c>
      <c r="E29" s="106"/>
      <c r="F29" s="3"/>
      <c r="G29" s="108">
        <f>SUM(G4:G28)</f>
        <v>39</v>
      </c>
      <c r="H29" s="108">
        <f>SUM(H4:H28)</f>
        <v>7100000</v>
      </c>
      <c r="I29" s="109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000000000000005" right="0.43000000000000005" top="0.55" bottom="0.55" header="0.51" footer="0.51"/>
  <pageSetup fitToHeight="1" fitToWidth="1" horizontalDpi="300" verticalDpi="300" orientation="landscape" paperSize="9" scale="8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A1" sqref="A1:N28"/>
    </sheetView>
  </sheetViews>
  <sheetFormatPr defaultColWidth="9.140625" defaultRowHeight="12.75"/>
  <cols>
    <col min="1" max="1" width="25.140625" style="54" customWidth="1"/>
    <col min="2" max="2" width="7.8515625" style="55" customWidth="1"/>
    <col min="3" max="3" width="8.421875" style="56" customWidth="1"/>
    <col min="4" max="4" width="6.8515625" style="55" customWidth="1"/>
    <col min="5" max="5" width="8.140625" style="55" customWidth="1"/>
    <col min="6" max="6" width="10.140625" style="55" customWidth="1"/>
    <col min="7" max="7" width="9.140625" style="55" customWidth="1"/>
    <col min="8" max="8" width="13.421875" style="55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57" customFormat="1" ht="42.75" customHeight="1">
      <c r="B1" s="435" t="s">
        <v>274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</row>
    <row r="2" spans="2:14" s="57" customFormat="1" ht="29.25" customHeight="1">
      <c r="B2" s="444" t="s">
        <v>280</v>
      </c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</row>
    <row r="3" spans="1:14" s="70" customFormat="1" ht="27" customHeight="1">
      <c r="A3" s="59" t="s">
        <v>77</v>
      </c>
      <c r="B3" s="60" t="s">
        <v>78</v>
      </c>
      <c r="C3" s="60" t="s">
        <v>83</v>
      </c>
      <c r="D3" s="60" t="s">
        <v>80</v>
      </c>
      <c r="E3" s="60" t="s">
        <v>81</v>
      </c>
      <c r="F3" s="61" t="s">
        <v>82</v>
      </c>
      <c r="G3" s="62" t="s">
        <v>83</v>
      </c>
      <c r="H3" s="63" t="s">
        <v>84</v>
      </c>
      <c r="I3" s="64"/>
      <c r="J3" s="65" t="s">
        <v>82</v>
      </c>
      <c r="K3" s="66"/>
      <c r="L3" s="67"/>
      <c r="M3" s="68" t="s">
        <v>83</v>
      </c>
      <c r="N3" s="69" t="s">
        <v>85</v>
      </c>
    </row>
    <row r="4" spans="1:14" s="81" customFormat="1" ht="18" customHeight="1">
      <c r="A4" s="378" t="s">
        <v>48</v>
      </c>
      <c r="B4" s="247">
        <v>7.9</v>
      </c>
      <c r="C4" s="72">
        <v>36</v>
      </c>
      <c r="D4" s="73">
        <v>32</v>
      </c>
      <c r="E4" s="88">
        <v>10.25</v>
      </c>
      <c r="F4" s="72">
        <v>1</v>
      </c>
      <c r="G4" s="72">
        <v>10</v>
      </c>
      <c r="H4" s="75">
        <f aca="true" t="shared" si="0" ref="H4:H11">N4+I4</f>
        <v>1600000</v>
      </c>
      <c r="I4" s="76">
        <f>IF(E4&gt;0,$N$13,0)+IF(C4&gt;0,50000,0)+IF(C12&lt;0,50000,0)</f>
        <v>350000</v>
      </c>
      <c r="J4" s="77" t="s">
        <v>86</v>
      </c>
      <c r="K4" s="78"/>
      <c r="L4" s="79"/>
      <c r="M4" s="80">
        <v>10</v>
      </c>
      <c r="N4" s="75">
        <f>N12*25%</f>
        <v>1250000</v>
      </c>
    </row>
    <row r="5" spans="1:14" s="81" customFormat="1" ht="18" customHeight="1">
      <c r="A5" s="378" t="s">
        <v>34</v>
      </c>
      <c r="B5" s="247">
        <v>15.4</v>
      </c>
      <c r="C5" s="72">
        <v>34</v>
      </c>
      <c r="D5" s="92">
        <v>34</v>
      </c>
      <c r="E5" s="74"/>
      <c r="F5" s="72">
        <v>2</v>
      </c>
      <c r="G5" s="72">
        <v>8</v>
      </c>
      <c r="H5" s="75">
        <f t="shared" si="0"/>
        <v>1050000</v>
      </c>
      <c r="I5" s="76">
        <f>IF(E5&gt;0,$N$13,0)+IF(C5&gt;0,50000,0)+IF(C13&lt;0,50000,0)</f>
        <v>50000</v>
      </c>
      <c r="J5" s="82" t="s">
        <v>87</v>
      </c>
      <c r="K5" s="83"/>
      <c r="L5" s="84"/>
      <c r="M5" s="85">
        <v>8</v>
      </c>
      <c r="N5" s="75">
        <f>N12*20%</f>
        <v>1000000</v>
      </c>
    </row>
    <row r="6" spans="1:14" s="81" customFormat="1" ht="18" customHeight="1">
      <c r="A6" s="378" t="s">
        <v>28</v>
      </c>
      <c r="B6" s="247">
        <v>12.1</v>
      </c>
      <c r="C6" s="73">
        <v>31</v>
      </c>
      <c r="D6" s="92">
        <v>32</v>
      </c>
      <c r="E6" s="88"/>
      <c r="F6" s="12">
        <v>3</v>
      </c>
      <c r="G6" s="12">
        <v>6</v>
      </c>
      <c r="H6" s="75">
        <f t="shared" si="0"/>
        <v>800000</v>
      </c>
      <c r="I6" s="76">
        <f aca="true" t="shared" si="1" ref="I6:I11">IF(E6&gt;0,$N$13,0)+IF(C6&gt;0,50000,0)+IF(C14&lt;0,50000,0)</f>
        <v>50000</v>
      </c>
      <c r="J6" s="82" t="s">
        <v>88</v>
      </c>
      <c r="K6" s="83"/>
      <c r="L6" s="84"/>
      <c r="M6" s="85">
        <v>6</v>
      </c>
      <c r="N6" s="75">
        <f>N12*15%</f>
        <v>750000</v>
      </c>
    </row>
    <row r="7" spans="1:18" s="81" customFormat="1" ht="18" customHeight="1">
      <c r="A7" s="378" t="s">
        <v>10</v>
      </c>
      <c r="B7" s="247">
        <v>13.7</v>
      </c>
      <c r="C7" s="72">
        <v>29</v>
      </c>
      <c r="D7" s="73">
        <v>32</v>
      </c>
      <c r="E7" s="88"/>
      <c r="F7" s="72">
        <v>4</v>
      </c>
      <c r="G7" s="72">
        <v>5</v>
      </c>
      <c r="H7" s="75">
        <f t="shared" si="0"/>
        <v>650000</v>
      </c>
      <c r="I7" s="76">
        <f t="shared" si="1"/>
        <v>50000</v>
      </c>
      <c r="J7" s="82" t="s">
        <v>89</v>
      </c>
      <c r="K7" s="83"/>
      <c r="L7" s="84"/>
      <c r="M7" s="85">
        <v>5</v>
      </c>
      <c r="N7" s="75">
        <f>N12*12%</f>
        <v>600000</v>
      </c>
      <c r="O7" s="86"/>
      <c r="P7" s="86"/>
      <c r="Q7" s="86"/>
      <c r="R7" s="87"/>
    </row>
    <row r="8" spans="1:14" s="81" customFormat="1" ht="18" customHeight="1">
      <c r="A8" s="378" t="s">
        <v>38</v>
      </c>
      <c r="B8" s="247">
        <v>14.2</v>
      </c>
      <c r="C8" s="73">
        <v>29</v>
      </c>
      <c r="D8" s="73">
        <v>32</v>
      </c>
      <c r="E8" s="74"/>
      <c r="F8" s="72">
        <v>5</v>
      </c>
      <c r="G8" s="72">
        <v>4</v>
      </c>
      <c r="H8" s="75">
        <f t="shared" si="0"/>
        <v>550000</v>
      </c>
      <c r="I8" s="76">
        <f t="shared" si="1"/>
        <v>50000</v>
      </c>
      <c r="J8" s="82" t="s">
        <v>90</v>
      </c>
      <c r="K8" s="83"/>
      <c r="L8" s="84"/>
      <c r="M8" s="85">
        <v>4</v>
      </c>
      <c r="N8" s="75">
        <f>N12*10%</f>
        <v>500000</v>
      </c>
    </row>
    <row r="9" spans="1:14" s="81" customFormat="1" ht="18" customHeight="1">
      <c r="A9" s="378" t="s">
        <v>36</v>
      </c>
      <c r="B9" s="247">
        <v>18.4</v>
      </c>
      <c r="C9" s="72">
        <v>29</v>
      </c>
      <c r="D9" s="73">
        <v>37</v>
      </c>
      <c r="E9" s="88"/>
      <c r="F9" s="89">
        <v>6</v>
      </c>
      <c r="G9" s="89">
        <v>3</v>
      </c>
      <c r="H9" s="75">
        <f t="shared" si="0"/>
        <v>450000</v>
      </c>
      <c r="I9" s="76">
        <f t="shared" si="1"/>
        <v>50000</v>
      </c>
      <c r="J9" s="82" t="s">
        <v>91</v>
      </c>
      <c r="K9" s="83"/>
      <c r="L9" s="84"/>
      <c r="M9" s="85">
        <v>3</v>
      </c>
      <c r="N9" s="75">
        <f>N12*8%</f>
        <v>400000</v>
      </c>
    </row>
    <row r="10" spans="1:14" s="81" customFormat="1" ht="18" customHeight="1">
      <c r="A10" s="378" t="s">
        <v>30</v>
      </c>
      <c r="B10" s="247">
        <v>9.8</v>
      </c>
      <c r="C10" s="72">
        <v>26</v>
      </c>
      <c r="D10" s="73">
        <v>37</v>
      </c>
      <c r="E10" s="74"/>
      <c r="F10" s="72">
        <v>7</v>
      </c>
      <c r="G10" s="72">
        <v>2</v>
      </c>
      <c r="H10" s="75">
        <f t="shared" si="0"/>
        <v>350000</v>
      </c>
      <c r="I10" s="76">
        <f t="shared" si="1"/>
        <v>50000</v>
      </c>
      <c r="J10" s="82" t="s">
        <v>92</v>
      </c>
      <c r="K10" s="83"/>
      <c r="L10" s="84"/>
      <c r="M10" s="85">
        <v>2</v>
      </c>
      <c r="N10" s="75">
        <f>N12*6%</f>
        <v>300000</v>
      </c>
    </row>
    <row r="11" spans="1:14" s="81" customFormat="1" ht="18" customHeight="1">
      <c r="A11" s="378" t="s">
        <v>18</v>
      </c>
      <c r="B11" s="247">
        <v>13.9</v>
      </c>
      <c r="C11" s="72">
        <v>26</v>
      </c>
      <c r="D11" s="73">
        <v>32</v>
      </c>
      <c r="E11" s="74">
        <v>5.34</v>
      </c>
      <c r="F11" s="72">
        <v>8</v>
      </c>
      <c r="G11" s="72">
        <v>1</v>
      </c>
      <c r="H11" s="75">
        <f t="shared" si="0"/>
        <v>550000</v>
      </c>
      <c r="I11" s="76">
        <f t="shared" si="1"/>
        <v>350000</v>
      </c>
      <c r="J11" s="82" t="s">
        <v>93</v>
      </c>
      <c r="K11" s="83"/>
      <c r="L11" s="84"/>
      <c r="M11" s="85">
        <v>1</v>
      </c>
      <c r="N11" s="75">
        <f>N12*4%</f>
        <v>200000</v>
      </c>
    </row>
    <row r="12" spans="1:14" s="81" customFormat="1" ht="18" customHeight="1">
      <c r="A12" s="378" t="s">
        <v>166</v>
      </c>
      <c r="B12" s="247">
        <v>15.1</v>
      </c>
      <c r="C12" s="72">
        <v>25</v>
      </c>
      <c r="D12" s="73">
        <v>37</v>
      </c>
      <c r="E12" s="74">
        <v>9.47</v>
      </c>
      <c r="F12" s="72"/>
      <c r="G12" s="72"/>
      <c r="H12" s="75">
        <f>I12</f>
        <v>350000</v>
      </c>
      <c r="I12" s="76">
        <f>IF(E12&gt;0,$N$13,0)+IF(C12&gt;0,50000,0)+IF(C12&lt;0,50000,0)</f>
        <v>350000</v>
      </c>
      <c r="J12" s="90" t="s">
        <v>94</v>
      </c>
      <c r="K12" s="83"/>
      <c r="L12" s="84"/>
      <c r="M12" s="85"/>
      <c r="N12" s="91">
        <v>5000000</v>
      </c>
    </row>
    <row r="13" spans="1:14" s="81" customFormat="1" ht="18" customHeight="1">
      <c r="A13" s="378" t="s">
        <v>46</v>
      </c>
      <c r="B13" s="247">
        <v>21.8</v>
      </c>
      <c r="C13" s="72">
        <v>25</v>
      </c>
      <c r="D13" s="73">
        <v>39</v>
      </c>
      <c r="E13" s="74" t="s">
        <v>275</v>
      </c>
      <c r="F13" s="72"/>
      <c r="G13" s="72"/>
      <c r="H13" s="75">
        <f aca="true" t="shared" si="2" ref="H13:H27">I13</f>
        <v>350000</v>
      </c>
      <c r="I13" s="76">
        <f aca="true" t="shared" si="3" ref="I13:I27">IF(E13&gt;0,$N$13,0)+IF(C13&gt;0,50000,0)+IF(C13&lt;0,50000,0)</f>
        <v>350000</v>
      </c>
      <c r="J13" s="93" t="s">
        <v>95</v>
      </c>
      <c r="K13" s="94"/>
      <c r="L13" s="95"/>
      <c r="M13" s="96">
        <v>1</v>
      </c>
      <c r="N13" s="97">
        <f>N10</f>
        <v>300000</v>
      </c>
    </row>
    <row r="14" spans="1:14" s="81" customFormat="1" ht="18" customHeight="1">
      <c r="A14" s="378" t="s">
        <v>40</v>
      </c>
      <c r="B14" s="247">
        <v>21.9</v>
      </c>
      <c r="C14" s="72">
        <v>25</v>
      </c>
      <c r="D14" s="358">
        <v>38</v>
      </c>
      <c r="E14" s="74"/>
      <c r="F14" s="72"/>
      <c r="G14" s="72"/>
      <c r="H14" s="75">
        <f t="shared" si="2"/>
        <v>50000</v>
      </c>
      <c r="I14" s="76">
        <f t="shared" si="3"/>
        <v>50000</v>
      </c>
      <c r="J14" s="98"/>
      <c r="K14" s="94"/>
      <c r="L14" s="94"/>
      <c r="M14" s="99"/>
      <c r="N14" s="100"/>
    </row>
    <row r="15" spans="1:14" s="81" customFormat="1" ht="18" customHeight="1">
      <c r="A15" s="378" t="s">
        <v>44</v>
      </c>
      <c r="B15" s="247">
        <v>15.2</v>
      </c>
      <c r="C15" s="72">
        <v>23</v>
      </c>
      <c r="D15" s="73">
        <v>32</v>
      </c>
      <c r="E15" s="88"/>
      <c r="F15" s="72"/>
      <c r="G15" s="72"/>
      <c r="H15" s="75">
        <f t="shared" si="2"/>
        <v>50000</v>
      </c>
      <c r="I15" s="76">
        <f t="shared" si="3"/>
        <v>50000</v>
      </c>
      <c r="J15" s="101"/>
      <c r="K15" s="102"/>
      <c r="L15" s="102"/>
      <c r="M15" s="103"/>
      <c r="N15" s="104"/>
    </row>
    <row r="16" spans="1:9" s="81" customFormat="1" ht="18" customHeight="1">
      <c r="A16" s="378" t="s">
        <v>42</v>
      </c>
      <c r="B16" s="247">
        <v>18</v>
      </c>
      <c r="C16" s="73">
        <v>23</v>
      </c>
      <c r="D16" s="92">
        <v>37</v>
      </c>
      <c r="E16" s="88">
        <v>8.57</v>
      </c>
      <c r="F16" s="12"/>
      <c r="G16" s="12"/>
      <c r="H16" s="75">
        <f t="shared" si="2"/>
        <v>350000</v>
      </c>
      <c r="I16" s="76">
        <f t="shared" si="3"/>
        <v>350000</v>
      </c>
    </row>
    <row r="17" spans="1:18" s="81" customFormat="1" ht="18" customHeight="1">
      <c r="A17" s="378" t="s">
        <v>22</v>
      </c>
      <c r="B17" s="247">
        <v>12.3</v>
      </c>
      <c r="C17" s="73">
        <v>21</v>
      </c>
      <c r="D17" s="92">
        <v>35</v>
      </c>
      <c r="E17" s="74"/>
      <c r="F17" s="12"/>
      <c r="G17" s="12"/>
      <c r="H17" s="75">
        <f t="shared" si="2"/>
        <v>50000</v>
      </c>
      <c r="I17" s="76">
        <f t="shared" si="3"/>
        <v>50000</v>
      </c>
      <c r="O17" s="86"/>
      <c r="P17" s="86"/>
      <c r="Q17" s="86"/>
      <c r="R17" s="87"/>
    </row>
    <row r="18" spans="1:13" s="81" customFormat="1" ht="18" customHeight="1">
      <c r="A18" s="378" t="s">
        <v>8</v>
      </c>
      <c r="B18" s="247">
        <v>20.7</v>
      </c>
      <c r="C18" s="72">
        <v>19</v>
      </c>
      <c r="D18" s="92">
        <v>43</v>
      </c>
      <c r="E18" s="74"/>
      <c r="F18" s="72"/>
      <c r="G18" s="72"/>
      <c r="H18" s="75">
        <f t="shared" si="2"/>
        <v>50000</v>
      </c>
      <c r="I18" s="76">
        <f t="shared" si="3"/>
        <v>50000</v>
      </c>
      <c r="J18" s="87"/>
      <c r="K18" s="87"/>
      <c r="L18" s="87"/>
      <c r="M18" s="87"/>
    </row>
    <row r="19" spans="1:13" s="81" customFormat="1" ht="18" customHeight="1">
      <c r="A19" s="378" t="s">
        <v>26</v>
      </c>
      <c r="B19" s="247">
        <v>22.9</v>
      </c>
      <c r="C19" s="72">
        <v>18</v>
      </c>
      <c r="D19" s="92">
        <v>41</v>
      </c>
      <c r="E19" s="74"/>
      <c r="F19" s="72"/>
      <c r="G19" s="72"/>
      <c r="H19" s="75">
        <f t="shared" si="2"/>
        <v>50000</v>
      </c>
      <c r="I19" s="76">
        <f t="shared" si="3"/>
        <v>50000</v>
      </c>
      <c r="J19" s="87"/>
      <c r="K19" s="87"/>
      <c r="L19" s="87"/>
      <c r="M19" s="87"/>
    </row>
    <row r="20" spans="1:9" s="57" customFormat="1" ht="18" customHeight="1">
      <c r="A20" s="378" t="s">
        <v>16</v>
      </c>
      <c r="B20" s="247">
        <v>19.4</v>
      </c>
      <c r="C20" s="12">
        <v>15</v>
      </c>
      <c r="D20" s="73">
        <v>44</v>
      </c>
      <c r="E20" s="74"/>
      <c r="F20" s="12"/>
      <c r="G20" s="12"/>
      <c r="H20" s="75">
        <f t="shared" si="2"/>
        <v>50000</v>
      </c>
      <c r="I20" s="76">
        <f t="shared" si="3"/>
        <v>50000</v>
      </c>
    </row>
    <row r="21" spans="1:9" s="57" customFormat="1" ht="18" customHeight="1">
      <c r="A21" s="378"/>
      <c r="B21" s="247"/>
      <c r="C21" s="72"/>
      <c r="D21" s="73"/>
      <c r="E21" s="74"/>
      <c r="F21" s="12"/>
      <c r="G21" s="12"/>
      <c r="H21" s="75">
        <f t="shared" si="2"/>
        <v>0</v>
      </c>
      <c r="I21" s="76">
        <f t="shared" si="3"/>
        <v>0</v>
      </c>
    </row>
    <row r="22" spans="1:9" s="57" customFormat="1" ht="18" customHeight="1">
      <c r="A22" s="378"/>
      <c r="B22" s="247"/>
      <c r="C22" s="72"/>
      <c r="D22" s="73"/>
      <c r="E22" s="74"/>
      <c r="F22" s="12"/>
      <c r="G22" s="12"/>
      <c r="H22" s="75">
        <f t="shared" si="2"/>
        <v>0</v>
      </c>
      <c r="I22" s="76">
        <f t="shared" si="3"/>
        <v>0</v>
      </c>
    </row>
    <row r="23" spans="1:9" s="57" customFormat="1" ht="18" customHeight="1">
      <c r="A23" s="378"/>
      <c r="B23" s="247"/>
      <c r="C23" s="72"/>
      <c r="D23" s="73"/>
      <c r="E23" s="74"/>
      <c r="F23" s="12"/>
      <c r="G23" s="12"/>
      <c r="H23" s="75">
        <f t="shared" si="2"/>
        <v>0</v>
      </c>
      <c r="I23" s="76">
        <f t="shared" si="3"/>
        <v>0</v>
      </c>
    </row>
    <row r="24" spans="1:9" s="57" customFormat="1" ht="18" customHeight="1">
      <c r="A24" s="378"/>
      <c r="B24" s="247"/>
      <c r="C24" s="73"/>
      <c r="D24" s="92"/>
      <c r="E24" s="74"/>
      <c r="F24" s="12"/>
      <c r="G24" s="12"/>
      <c r="H24" s="75">
        <f t="shared" si="2"/>
        <v>0</v>
      </c>
      <c r="I24" s="76">
        <f t="shared" si="3"/>
        <v>0</v>
      </c>
    </row>
    <row r="25" spans="1:9" s="57" customFormat="1" ht="18" customHeight="1">
      <c r="A25" s="378"/>
      <c r="B25" s="247"/>
      <c r="C25" s="72"/>
      <c r="D25" s="92"/>
      <c r="E25" s="88"/>
      <c r="F25" s="12"/>
      <c r="G25" s="12"/>
      <c r="H25" s="75">
        <f t="shared" si="2"/>
        <v>0</v>
      </c>
      <c r="I25" s="76">
        <f t="shared" si="3"/>
        <v>0</v>
      </c>
    </row>
    <row r="26" spans="1:9" s="57" customFormat="1" ht="18" customHeight="1">
      <c r="A26" s="152"/>
      <c r="B26" s="247"/>
      <c r="C26" s="73"/>
      <c r="D26" s="73"/>
      <c r="E26" s="88"/>
      <c r="F26" s="72"/>
      <c r="G26" s="72"/>
      <c r="H26" s="75">
        <f t="shared" si="2"/>
        <v>0</v>
      </c>
      <c r="I26" s="76">
        <f t="shared" si="3"/>
        <v>0</v>
      </c>
    </row>
    <row r="27" spans="1:9" s="57" customFormat="1" ht="18" customHeight="1">
      <c r="A27" s="152"/>
      <c r="B27" s="247"/>
      <c r="C27" s="92"/>
      <c r="D27" s="73"/>
      <c r="E27" s="74"/>
      <c r="F27" s="72"/>
      <c r="G27" s="72"/>
      <c r="H27" s="75">
        <f t="shared" si="2"/>
        <v>0</v>
      </c>
      <c r="I27" s="76">
        <f t="shared" si="3"/>
        <v>0</v>
      </c>
    </row>
    <row r="28" spans="1:9" ht="24" customHeight="1" thickBot="1">
      <c r="A28" s="1"/>
      <c r="B28" s="3"/>
      <c r="C28" s="106"/>
      <c r="D28" s="107">
        <f>SUM(D4:D27)</f>
        <v>614</v>
      </c>
      <c r="E28" s="106"/>
      <c r="F28" s="3"/>
      <c r="G28" s="108">
        <f>SUM(G4:G27)</f>
        <v>39</v>
      </c>
      <c r="H28" s="108">
        <f>SUM(H4:H27)</f>
        <v>7350000</v>
      </c>
      <c r="I28" s="109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000000000000005" right="0.43000000000000005" top="0.55" bottom="0.55" header="0.51" footer="0.51"/>
  <pageSetup fitToHeight="1" fitToWidth="1" horizontalDpi="300" verticalDpi="300" orientation="landscape" paperSize="9" scale="8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zoomScalePageLayoutView="0" workbookViewId="0" topLeftCell="A1">
      <selection activeCell="A1" sqref="A1:N28"/>
    </sheetView>
  </sheetViews>
  <sheetFormatPr defaultColWidth="9.140625" defaultRowHeight="12.75"/>
  <cols>
    <col min="1" max="1" width="25.140625" style="54" customWidth="1"/>
    <col min="2" max="2" width="7.8515625" style="55" customWidth="1"/>
    <col min="3" max="3" width="8.421875" style="56" customWidth="1"/>
    <col min="4" max="4" width="6.8515625" style="55" customWidth="1"/>
    <col min="5" max="5" width="8.140625" style="55" customWidth="1"/>
    <col min="6" max="6" width="10.140625" style="55" customWidth="1"/>
    <col min="7" max="7" width="9.140625" style="55" customWidth="1"/>
    <col min="8" max="8" width="13.421875" style="55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57" customFormat="1" ht="43.5" customHeight="1">
      <c r="B1" s="435" t="s">
        <v>268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</row>
    <row r="2" spans="2:14" s="57" customFormat="1" ht="29.25" customHeight="1">
      <c r="B2" s="444" t="s">
        <v>269</v>
      </c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</row>
    <row r="3" spans="1:14" s="70" customFormat="1" ht="27" customHeight="1">
      <c r="A3" s="59" t="s">
        <v>77</v>
      </c>
      <c r="B3" s="60" t="s">
        <v>78</v>
      </c>
      <c r="C3" s="60" t="s">
        <v>79</v>
      </c>
      <c r="D3" s="60" t="s">
        <v>80</v>
      </c>
      <c r="E3" s="60" t="s">
        <v>81</v>
      </c>
      <c r="F3" s="61" t="s">
        <v>82</v>
      </c>
      <c r="G3" s="62" t="s">
        <v>83</v>
      </c>
      <c r="H3" s="63" t="s">
        <v>84</v>
      </c>
      <c r="I3" s="64"/>
      <c r="J3" s="65" t="s">
        <v>82</v>
      </c>
      <c r="K3" s="66"/>
      <c r="L3" s="67"/>
      <c r="M3" s="68" t="s">
        <v>83</v>
      </c>
      <c r="N3" s="69" t="s">
        <v>85</v>
      </c>
    </row>
    <row r="4" spans="1:14" s="81" customFormat="1" ht="18" customHeight="1">
      <c r="A4" s="378" t="s">
        <v>42</v>
      </c>
      <c r="B4" s="247">
        <v>19.5</v>
      </c>
      <c r="C4" s="92">
        <v>40</v>
      </c>
      <c r="D4" s="73">
        <v>31</v>
      </c>
      <c r="E4" s="74"/>
      <c r="F4" s="72">
        <v>1</v>
      </c>
      <c r="G4" s="72">
        <v>10</v>
      </c>
      <c r="H4" s="75">
        <f aca="true" t="shared" si="0" ref="H4:H11">N4+I4</f>
        <v>1550000</v>
      </c>
      <c r="I4" s="76">
        <f aca="true" t="shared" si="1" ref="I4:I11">IF(E4&gt;0,$N$13,0)+IF(C4&gt;0,50000,0)+IF(C12&lt;0,50000,0)</f>
        <v>50000</v>
      </c>
      <c r="J4" s="77" t="s">
        <v>86</v>
      </c>
      <c r="K4" s="78"/>
      <c r="L4" s="79"/>
      <c r="M4" s="80">
        <v>10</v>
      </c>
      <c r="N4" s="75">
        <f>N12*25%</f>
        <v>1500000</v>
      </c>
    </row>
    <row r="5" spans="1:14" s="81" customFormat="1" ht="18" customHeight="1">
      <c r="A5" s="378" t="s">
        <v>32</v>
      </c>
      <c r="B5" s="247">
        <v>14.3</v>
      </c>
      <c r="C5" s="73">
        <v>38</v>
      </c>
      <c r="D5" s="92">
        <v>31</v>
      </c>
      <c r="E5" s="88"/>
      <c r="F5" s="72">
        <v>2</v>
      </c>
      <c r="G5" s="72">
        <v>8</v>
      </c>
      <c r="H5" s="75">
        <f t="shared" si="0"/>
        <v>1250000</v>
      </c>
      <c r="I5" s="76">
        <f t="shared" si="1"/>
        <v>50000</v>
      </c>
      <c r="J5" s="82" t="s">
        <v>87</v>
      </c>
      <c r="K5" s="83"/>
      <c r="L5" s="84"/>
      <c r="M5" s="85">
        <v>8</v>
      </c>
      <c r="N5" s="75">
        <f>N12*20%</f>
        <v>1200000</v>
      </c>
    </row>
    <row r="6" spans="1:14" s="81" customFormat="1" ht="18" customHeight="1">
      <c r="A6" s="378" t="s">
        <v>44</v>
      </c>
      <c r="B6" s="247">
        <v>15.2</v>
      </c>
      <c r="C6" s="72">
        <v>36</v>
      </c>
      <c r="D6" s="73">
        <v>31</v>
      </c>
      <c r="E6" s="88"/>
      <c r="F6" s="12">
        <v>3</v>
      </c>
      <c r="G6" s="12">
        <v>6</v>
      </c>
      <c r="H6" s="75">
        <f t="shared" si="0"/>
        <v>950000</v>
      </c>
      <c r="I6" s="76">
        <f t="shared" si="1"/>
        <v>50000</v>
      </c>
      <c r="J6" s="82" t="s">
        <v>88</v>
      </c>
      <c r="K6" s="83"/>
      <c r="L6" s="84"/>
      <c r="M6" s="85">
        <v>6</v>
      </c>
      <c r="N6" s="75">
        <f>N12*15%</f>
        <v>900000</v>
      </c>
    </row>
    <row r="7" spans="1:18" s="81" customFormat="1" ht="18" customHeight="1">
      <c r="A7" s="378" t="s">
        <v>28</v>
      </c>
      <c r="B7" s="247">
        <v>12.1</v>
      </c>
      <c r="C7" s="72">
        <v>35</v>
      </c>
      <c r="D7" s="73">
        <v>34</v>
      </c>
      <c r="E7" s="88"/>
      <c r="F7" s="72">
        <v>4</v>
      </c>
      <c r="G7" s="72">
        <v>5</v>
      </c>
      <c r="H7" s="75">
        <f t="shared" si="0"/>
        <v>770000</v>
      </c>
      <c r="I7" s="76">
        <f t="shared" si="1"/>
        <v>50000</v>
      </c>
      <c r="J7" s="82" t="s">
        <v>89</v>
      </c>
      <c r="K7" s="83"/>
      <c r="L7" s="84"/>
      <c r="M7" s="85">
        <v>5</v>
      </c>
      <c r="N7" s="75">
        <f>N12*12%</f>
        <v>720000</v>
      </c>
      <c r="O7" s="86"/>
      <c r="P7" s="86"/>
      <c r="Q7" s="86"/>
      <c r="R7" s="87"/>
    </row>
    <row r="8" spans="1:14" s="81" customFormat="1" ht="18" customHeight="1">
      <c r="A8" s="378" t="s">
        <v>48</v>
      </c>
      <c r="B8" s="247">
        <v>7.8</v>
      </c>
      <c r="C8" s="72">
        <v>33</v>
      </c>
      <c r="D8" s="73">
        <v>29</v>
      </c>
      <c r="E8" s="74"/>
      <c r="F8" s="72">
        <v>5</v>
      </c>
      <c r="G8" s="72">
        <v>4</v>
      </c>
      <c r="H8" s="75">
        <f t="shared" si="0"/>
        <v>650000</v>
      </c>
      <c r="I8" s="76">
        <f t="shared" si="1"/>
        <v>50000</v>
      </c>
      <c r="J8" s="82" t="s">
        <v>90</v>
      </c>
      <c r="K8" s="83"/>
      <c r="L8" s="84"/>
      <c r="M8" s="85">
        <v>4</v>
      </c>
      <c r="N8" s="75">
        <f>N12*10%</f>
        <v>600000</v>
      </c>
    </row>
    <row r="9" spans="1:14" s="81" customFormat="1" ht="18" customHeight="1">
      <c r="A9" s="378" t="s">
        <v>14</v>
      </c>
      <c r="B9" s="247">
        <v>11.5</v>
      </c>
      <c r="C9" s="72">
        <v>33</v>
      </c>
      <c r="D9" s="92">
        <v>33</v>
      </c>
      <c r="E9" s="74">
        <v>4.6</v>
      </c>
      <c r="F9" s="89">
        <v>6</v>
      </c>
      <c r="G9" s="89">
        <v>3</v>
      </c>
      <c r="H9" s="75">
        <f t="shared" si="0"/>
        <v>890000</v>
      </c>
      <c r="I9" s="76">
        <f t="shared" si="1"/>
        <v>410000</v>
      </c>
      <c r="J9" s="82" t="s">
        <v>91</v>
      </c>
      <c r="K9" s="83"/>
      <c r="L9" s="84"/>
      <c r="M9" s="85">
        <v>3</v>
      </c>
      <c r="N9" s="75">
        <f>N12*8%</f>
        <v>480000</v>
      </c>
    </row>
    <row r="10" spans="1:14" s="81" customFormat="1" ht="18" customHeight="1">
      <c r="A10" s="378" t="s">
        <v>18</v>
      </c>
      <c r="B10" s="247">
        <v>13.9</v>
      </c>
      <c r="C10" s="72">
        <v>33</v>
      </c>
      <c r="D10" s="92">
        <v>26</v>
      </c>
      <c r="E10" s="74"/>
      <c r="F10" s="72">
        <v>7</v>
      </c>
      <c r="G10" s="72">
        <v>2</v>
      </c>
      <c r="H10" s="75">
        <f t="shared" si="0"/>
        <v>410000</v>
      </c>
      <c r="I10" s="76">
        <f t="shared" si="1"/>
        <v>50000</v>
      </c>
      <c r="J10" s="82" t="s">
        <v>92</v>
      </c>
      <c r="K10" s="83"/>
      <c r="L10" s="84"/>
      <c r="M10" s="85">
        <v>2</v>
      </c>
      <c r="N10" s="75">
        <f>N12*6%</f>
        <v>360000</v>
      </c>
    </row>
    <row r="11" spans="1:14" s="81" customFormat="1" ht="18" customHeight="1">
      <c r="A11" s="378" t="s">
        <v>20</v>
      </c>
      <c r="B11" s="247">
        <v>16.8</v>
      </c>
      <c r="C11" s="72">
        <v>33</v>
      </c>
      <c r="D11" s="92">
        <v>34</v>
      </c>
      <c r="E11" s="74"/>
      <c r="F11" s="72">
        <v>8</v>
      </c>
      <c r="G11" s="72">
        <v>1</v>
      </c>
      <c r="H11" s="75">
        <f t="shared" si="0"/>
        <v>290000</v>
      </c>
      <c r="I11" s="76">
        <f t="shared" si="1"/>
        <v>50000</v>
      </c>
      <c r="J11" s="82" t="s">
        <v>93</v>
      </c>
      <c r="K11" s="83"/>
      <c r="L11" s="84"/>
      <c r="M11" s="85">
        <v>1</v>
      </c>
      <c r="N11" s="75">
        <f>N12*4%</f>
        <v>240000</v>
      </c>
    </row>
    <row r="12" spans="1:14" s="81" customFormat="1" ht="18" customHeight="1">
      <c r="A12" s="378" t="s">
        <v>36</v>
      </c>
      <c r="B12" s="247">
        <v>18.3</v>
      </c>
      <c r="C12" s="72">
        <v>32</v>
      </c>
      <c r="D12" s="73">
        <v>37</v>
      </c>
      <c r="E12" s="74"/>
      <c r="F12" s="72"/>
      <c r="G12" s="72"/>
      <c r="H12" s="75">
        <f>I12</f>
        <v>50000</v>
      </c>
      <c r="I12" s="76">
        <f>IF(E12&gt;0,$N$13,0)+IF(C12&gt;0,50000,0)+IF(C12&lt;0,50000,0)</f>
        <v>50000</v>
      </c>
      <c r="J12" s="90" t="s">
        <v>94</v>
      </c>
      <c r="K12" s="83"/>
      <c r="L12" s="84"/>
      <c r="M12" s="85"/>
      <c r="N12" s="91">
        <v>6000000</v>
      </c>
    </row>
    <row r="13" spans="1:14" s="81" customFormat="1" ht="18" customHeight="1">
      <c r="A13" s="378" t="s">
        <v>8</v>
      </c>
      <c r="B13" s="247">
        <v>20.6</v>
      </c>
      <c r="C13" s="72">
        <v>31</v>
      </c>
      <c r="D13" s="73">
        <v>35</v>
      </c>
      <c r="E13" s="88"/>
      <c r="F13" s="72"/>
      <c r="G13" s="72"/>
      <c r="H13" s="75">
        <f aca="true" t="shared" si="2" ref="H13:H20">I13</f>
        <v>50000</v>
      </c>
      <c r="I13" s="76">
        <f aca="true" t="shared" si="3" ref="I13:I28">IF(E13&gt;0,$N$13,0)+IF(C13&gt;0,50000,0)+IF(C13&lt;0,50000,0)</f>
        <v>50000</v>
      </c>
      <c r="J13" s="93" t="s">
        <v>95</v>
      </c>
      <c r="K13" s="94"/>
      <c r="L13" s="95"/>
      <c r="M13" s="96">
        <v>1</v>
      </c>
      <c r="N13" s="97">
        <f>N10</f>
        <v>360000</v>
      </c>
    </row>
    <row r="14" spans="1:14" s="81" customFormat="1" ht="18" customHeight="1">
      <c r="A14" s="378" t="s">
        <v>34</v>
      </c>
      <c r="B14" s="247">
        <v>15.3</v>
      </c>
      <c r="C14" s="72">
        <v>30</v>
      </c>
      <c r="D14" s="92">
        <v>35</v>
      </c>
      <c r="E14" s="74"/>
      <c r="F14" s="72"/>
      <c r="G14" s="72"/>
      <c r="H14" s="75">
        <f t="shared" si="2"/>
        <v>50000</v>
      </c>
      <c r="I14" s="76">
        <f t="shared" si="3"/>
        <v>50000</v>
      </c>
      <c r="J14" s="98"/>
      <c r="K14" s="94"/>
      <c r="L14" s="94"/>
      <c r="M14" s="99"/>
      <c r="N14" s="100"/>
    </row>
    <row r="15" spans="1:14" s="81" customFormat="1" ht="18" customHeight="1">
      <c r="A15" s="378" t="s">
        <v>166</v>
      </c>
      <c r="B15" s="247">
        <v>15</v>
      </c>
      <c r="C15" s="73">
        <v>29</v>
      </c>
      <c r="D15" s="73">
        <v>33</v>
      </c>
      <c r="E15" s="88"/>
      <c r="F15" s="72"/>
      <c r="G15" s="72"/>
      <c r="H15" s="75">
        <f t="shared" si="2"/>
        <v>50000</v>
      </c>
      <c r="I15" s="76">
        <f t="shared" si="3"/>
        <v>50000</v>
      </c>
      <c r="J15" s="101"/>
      <c r="K15" s="102"/>
      <c r="L15" s="102"/>
      <c r="M15" s="103"/>
      <c r="N15" s="104"/>
    </row>
    <row r="16" spans="1:9" s="81" customFormat="1" ht="18" customHeight="1">
      <c r="A16" s="378" t="s">
        <v>22</v>
      </c>
      <c r="B16" s="247">
        <v>12.2</v>
      </c>
      <c r="C16" s="73">
        <v>28</v>
      </c>
      <c r="D16" s="73">
        <v>30</v>
      </c>
      <c r="E16" s="88"/>
      <c r="F16" s="12"/>
      <c r="G16" s="12"/>
      <c r="H16" s="75">
        <f t="shared" si="2"/>
        <v>50000</v>
      </c>
      <c r="I16" s="76">
        <f t="shared" si="3"/>
        <v>50000</v>
      </c>
    </row>
    <row r="17" spans="1:13" s="81" customFormat="1" ht="18" customHeight="1">
      <c r="A17" s="378" t="s">
        <v>38</v>
      </c>
      <c r="B17" s="247">
        <v>14.1</v>
      </c>
      <c r="C17" s="72">
        <v>27</v>
      </c>
      <c r="D17" s="73">
        <v>37</v>
      </c>
      <c r="E17" s="88"/>
      <c r="F17" s="12"/>
      <c r="G17" s="12"/>
      <c r="H17" s="75">
        <f t="shared" si="2"/>
        <v>50000</v>
      </c>
      <c r="I17" s="76">
        <f t="shared" si="3"/>
        <v>50000</v>
      </c>
      <c r="J17" s="86"/>
      <c r="K17" s="86"/>
      <c r="L17" s="86"/>
      <c r="M17" s="87"/>
    </row>
    <row r="18" spans="1:13" s="81" customFormat="1" ht="18" customHeight="1">
      <c r="A18" s="378" t="s">
        <v>46</v>
      </c>
      <c r="B18" s="247">
        <v>21.7</v>
      </c>
      <c r="C18" s="73">
        <v>27</v>
      </c>
      <c r="D18" s="92">
        <v>36</v>
      </c>
      <c r="E18" s="74"/>
      <c r="F18" s="72"/>
      <c r="G18" s="72"/>
      <c r="H18" s="75">
        <f t="shared" si="2"/>
        <v>50000</v>
      </c>
      <c r="I18" s="76">
        <f t="shared" si="3"/>
        <v>50000</v>
      </c>
      <c r="J18" s="87"/>
      <c r="K18" s="87"/>
      <c r="L18" s="87"/>
      <c r="M18" s="87"/>
    </row>
    <row r="19" spans="1:13" s="81" customFormat="1" ht="18" customHeight="1">
      <c r="A19" s="378" t="s">
        <v>50</v>
      </c>
      <c r="B19" s="247">
        <v>24.7</v>
      </c>
      <c r="C19" s="12">
        <v>25</v>
      </c>
      <c r="D19" s="73">
        <v>39</v>
      </c>
      <c r="E19" s="74"/>
      <c r="F19" s="72"/>
      <c r="G19" s="72"/>
      <c r="H19" s="75">
        <f t="shared" si="2"/>
        <v>50000</v>
      </c>
      <c r="I19" s="76">
        <f t="shared" si="3"/>
        <v>50000</v>
      </c>
      <c r="J19" s="87"/>
      <c r="K19" s="87"/>
      <c r="L19" s="87"/>
      <c r="M19" s="87"/>
    </row>
    <row r="20" spans="1:9" s="57" customFormat="1" ht="18" customHeight="1">
      <c r="A20" s="378" t="s">
        <v>40</v>
      </c>
      <c r="B20" s="247">
        <v>21.8</v>
      </c>
      <c r="C20" s="72">
        <v>24</v>
      </c>
      <c r="D20" s="73">
        <v>36</v>
      </c>
      <c r="E20" s="74"/>
      <c r="F20" s="12"/>
      <c r="G20" s="12"/>
      <c r="H20" s="75">
        <f t="shared" si="2"/>
        <v>50000</v>
      </c>
      <c r="I20" s="76">
        <f t="shared" si="3"/>
        <v>50000</v>
      </c>
    </row>
    <row r="21" spans="1:9" s="57" customFormat="1" ht="18" customHeight="1">
      <c r="A21" s="378"/>
      <c r="B21" s="247"/>
      <c r="C21" s="72"/>
      <c r="D21" s="73"/>
      <c r="E21" s="74"/>
      <c r="F21" s="12"/>
      <c r="G21" s="12"/>
      <c r="H21" s="75">
        <f aca="true" t="shared" si="4" ref="H21:H28">I21</f>
        <v>0</v>
      </c>
      <c r="I21" s="76">
        <f t="shared" si="3"/>
        <v>0</v>
      </c>
    </row>
    <row r="22" spans="1:9" s="57" customFormat="1" ht="18" customHeight="1">
      <c r="A22" s="378"/>
      <c r="B22" s="247"/>
      <c r="C22" s="73"/>
      <c r="D22" s="92"/>
      <c r="E22" s="74"/>
      <c r="F22" s="12"/>
      <c r="G22" s="12"/>
      <c r="H22" s="75">
        <f t="shared" si="4"/>
        <v>0</v>
      </c>
      <c r="I22" s="76">
        <f t="shared" si="3"/>
        <v>0</v>
      </c>
    </row>
    <row r="23" spans="1:9" s="57" customFormat="1" ht="18" customHeight="1">
      <c r="A23" s="378"/>
      <c r="B23" s="247"/>
      <c r="C23" s="72"/>
      <c r="D23" s="92"/>
      <c r="E23" s="74"/>
      <c r="F23" s="12"/>
      <c r="G23" s="12"/>
      <c r="H23" s="75">
        <f t="shared" si="4"/>
        <v>0</v>
      </c>
      <c r="I23" s="76">
        <f t="shared" si="3"/>
        <v>0</v>
      </c>
    </row>
    <row r="24" spans="1:9" s="57" customFormat="1" ht="18" customHeight="1">
      <c r="A24" s="378"/>
      <c r="B24" s="247"/>
      <c r="C24" s="73"/>
      <c r="D24" s="73"/>
      <c r="E24" s="88"/>
      <c r="F24" s="12"/>
      <c r="G24" s="12"/>
      <c r="H24" s="75">
        <f t="shared" si="4"/>
        <v>0</v>
      </c>
      <c r="I24" s="76">
        <f t="shared" si="3"/>
        <v>0</v>
      </c>
    </row>
    <row r="25" spans="1:9" s="57" customFormat="1" ht="18" customHeight="1">
      <c r="A25" s="378"/>
      <c r="B25" s="247"/>
      <c r="C25" s="72"/>
      <c r="D25" s="73"/>
      <c r="E25" s="74"/>
      <c r="F25" s="12"/>
      <c r="G25" s="12"/>
      <c r="H25" s="75">
        <f t="shared" si="4"/>
        <v>0</v>
      </c>
      <c r="I25" s="76">
        <f t="shared" si="3"/>
        <v>0</v>
      </c>
    </row>
    <row r="26" spans="1:9" s="57" customFormat="1" ht="18" customHeight="1">
      <c r="A26" s="378"/>
      <c r="B26" s="247"/>
      <c r="C26" s="72"/>
      <c r="D26" s="73"/>
      <c r="E26" s="74"/>
      <c r="F26" s="12"/>
      <c r="G26" s="12"/>
      <c r="H26" s="75">
        <f>I26</f>
        <v>0</v>
      </c>
      <c r="I26" s="76"/>
    </row>
    <row r="27" spans="1:9" s="57" customFormat="1" ht="18" customHeight="1">
      <c r="A27" s="378"/>
      <c r="B27" s="247"/>
      <c r="C27" s="72"/>
      <c r="D27" s="73"/>
      <c r="E27" s="74"/>
      <c r="F27" s="72"/>
      <c r="G27" s="72"/>
      <c r="H27" s="75">
        <f t="shared" si="4"/>
        <v>0</v>
      </c>
      <c r="I27" s="76">
        <f t="shared" si="3"/>
        <v>0</v>
      </c>
    </row>
    <row r="28" spans="1:9" s="57" customFormat="1" ht="18" customHeight="1">
      <c r="A28" s="152"/>
      <c r="B28" s="186"/>
      <c r="C28" s="72"/>
      <c r="D28" s="73"/>
      <c r="E28" s="74"/>
      <c r="F28" s="72"/>
      <c r="G28" s="72"/>
      <c r="H28" s="75">
        <f t="shared" si="4"/>
        <v>0</v>
      </c>
      <c r="I28" s="76">
        <f t="shared" si="3"/>
        <v>0</v>
      </c>
    </row>
    <row r="29" spans="1:9" ht="24" customHeight="1">
      <c r="A29" s="1"/>
      <c r="B29" s="3"/>
      <c r="C29" s="106"/>
      <c r="D29" s="107">
        <f>SUM(D4:D28)</f>
        <v>567</v>
      </c>
      <c r="E29" s="106"/>
      <c r="F29" s="3"/>
      <c r="G29" s="108">
        <f>SUM(G4:G28)</f>
        <v>39</v>
      </c>
      <c r="H29" s="108">
        <f>SUM(H4:H28)</f>
        <v>7210000</v>
      </c>
      <c r="I29" s="109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zoomScalePageLayoutView="0" workbookViewId="0" topLeftCell="A1">
      <selection activeCell="A1" sqref="A1:N28"/>
    </sheetView>
  </sheetViews>
  <sheetFormatPr defaultColWidth="9.140625" defaultRowHeight="12.75"/>
  <cols>
    <col min="1" max="1" width="25.140625" style="54" customWidth="1"/>
    <col min="2" max="2" width="7.8515625" style="55" customWidth="1"/>
    <col min="3" max="3" width="8.421875" style="56" customWidth="1"/>
    <col min="4" max="4" width="6.8515625" style="55" customWidth="1"/>
    <col min="5" max="5" width="8.140625" style="55" customWidth="1"/>
    <col min="6" max="6" width="10.140625" style="55" customWidth="1"/>
    <col min="7" max="7" width="9.140625" style="55" customWidth="1"/>
    <col min="8" max="8" width="13.421875" style="55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57" customFormat="1" ht="43.5" customHeight="1">
      <c r="B1" s="435" t="s">
        <v>151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</row>
    <row r="2" spans="2:14" s="57" customFormat="1" ht="29.25" customHeight="1">
      <c r="B2" s="444" t="s">
        <v>264</v>
      </c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</row>
    <row r="3" spans="1:14" s="70" customFormat="1" ht="27" customHeight="1">
      <c r="A3" s="59" t="s">
        <v>77</v>
      </c>
      <c r="B3" s="60" t="s">
        <v>78</v>
      </c>
      <c r="C3" s="60" t="s">
        <v>79</v>
      </c>
      <c r="D3" s="60" t="s">
        <v>80</v>
      </c>
      <c r="E3" s="60" t="s">
        <v>81</v>
      </c>
      <c r="F3" s="61" t="s">
        <v>82</v>
      </c>
      <c r="G3" s="62" t="s">
        <v>83</v>
      </c>
      <c r="H3" s="63" t="s">
        <v>84</v>
      </c>
      <c r="I3" s="64"/>
      <c r="J3" s="65" t="s">
        <v>82</v>
      </c>
      <c r="K3" s="66"/>
      <c r="L3" s="67"/>
      <c r="M3" s="68" t="s">
        <v>83</v>
      </c>
      <c r="N3" s="69" t="s">
        <v>85</v>
      </c>
    </row>
    <row r="4" spans="1:14" s="81" customFormat="1" ht="18" customHeight="1">
      <c r="A4" s="378" t="s">
        <v>12</v>
      </c>
      <c r="B4" s="247">
        <v>16.1</v>
      </c>
      <c r="C4" s="72">
        <v>39</v>
      </c>
      <c r="D4" s="92">
        <v>31</v>
      </c>
      <c r="E4" s="74"/>
      <c r="F4" s="72">
        <v>1</v>
      </c>
      <c r="G4" s="72">
        <v>10</v>
      </c>
      <c r="H4" s="75">
        <f aca="true" t="shared" si="0" ref="H4:H11">N4+I4</f>
        <v>1550000</v>
      </c>
      <c r="I4" s="76">
        <f aca="true" t="shared" si="1" ref="I4:I11">IF(E4&gt;0,$N$13,0)+IF(C4&gt;0,50000,0)+IF(C12&lt;0,50000,0)</f>
        <v>50000</v>
      </c>
      <c r="J4" s="77" t="s">
        <v>86</v>
      </c>
      <c r="K4" s="78"/>
      <c r="L4" s="79"/>
      <c r="M4" s="80">
        <v>10</v>
      </c>
      <c r="N4" s="75">
        <f>N12*25%</f>
        <v>1500000</v>
      </c>
    </row>
    <row r="5" spans="1:14" s="81" customFormat="1" ht="18" customHeight="1">
      <c r="A5" s="378" t="s">
        <v>24</v>
      </c>
      <c r="B5" s="247">
        <v>13.6</v>
      </c>
      <c r="C5" s="73">
        <v>37</v>
      </c>
      <c r="D5" s="73">
        <v>31</v>
      </c>
      <c r="E5" s="74"/>
      <c r="F5" s="72">
        <v>2</v>
      </c>
      <c r="G5" s="72">
        <v>8</v>
      </c>
      <c r="H5" s="75">
        <f t="shared" si="0"/>
        <v>1250000</v>
      </c>
      <c r="I5" s="76">
        <f t="shared" si="1"/>
        <v>50000</v>
      </c>
      <c r="J5" s="82" t="s">
        <v>87</v>
      </c>
      <c r="K5" s="83"/>
      <c r="L5" s="84"/>
      <c r="M5" s="85">
        <v>8</v>
      </c>
      <c r="N5" s="75">
        <f>N12*20%</f>
        <v>1200000</v>
      </c>
    </row>
    <row r="6" spans="1:14" s="81" customFormat="1" ht="18" customHeight="1">
      <c r="A6" s="378" t="s">
        <v>38</v>
      </c>
      <c r="B6" s="247">
        <v>14.1</v>
      </c>
      <c r="C6" s="72">
        <v>35</v>
      </c>
      <c r="D6" s="73">
        <v>27</v>
      </c>
      <c r="E6" s="88"/>
      <c r="F6" s="12">
        <v>3</v>
      </c>
      <c r="G6" s="12">
        <v>6</v>
      </c>
      <c r="H6" s="75">
        <f t="shared" si="0"/>
        <v>950000</v>
      </c>
      <c r="I6" s="76">
        <f t="shared" si="1"/>
        <v>50000</v>
      </c>
      <c r="J6" s="82" t="s">
        <v>88</v>
      </c>
      <c r="K6" s="83"/>
      <c r="L6" s="84"/>
      <c r="M6" s="85">
        <v>6</v>
      </c>
      <c r="N6" s="75">
        <f>N12*15%</f>
        <v>900000</v>
      </c>
    </row>
    <row r="7" spans="1:18" s="81" customFormat="1" ht="18" customHeight="1">
      <c r="A7" s="378" t="s">
        <v>28</v>
      </c>
      <c r="B7" s="247">
        <v>12.1</v>
      </c>
      <c r="C7" s="72">
        <v>34</v>
      </c>
      <c r="D7" s="73">
        <v>32</v>
      </c>
      <c r="E7" s="74"/>
      <c r="F7" s="72">
        <v>4</v>
      </c>
      <c r="G7" s="72">
        <v>5</v>
      </c>
      <c r="H7" s="75">
        <f t="shared" si="0"/>
        <v>770000</v>
      </c>
      <c r="I7" s="76">
        <f t="shared" si="1"/>
        <v>50000</v>
      </c>
      <c r="J7" s="82" t="s">
        <v>89</v>
      </c>
      <c r="K7" s="83"/>
      <c r="L7" s="84"/>
      <c r="M7" s="85">
        <v>5</v>
      </c>
      <c r="N7" s="75">
        <f>N12*12%</f>
        <v>720000</v>
      </c>
      <c r="O7" s="86"/>
      <c r="P7" s="86"/>
      <c r="Q7" s="86"/>
      <c r="R7" s="87"/>
    </row>
    <row r="8" spans="1:14" s="81" customFormat="1" ht="18" customHeight="1">
      <c r="A8" s="378" t="s">
        <v>10</v>
      </c>
      <c r="B8" s="247">
        <v>13.5</v>
      </c>
      <c r="C8" s="72">
        <v>32</v>
      </c>
      <c r="D8" s="92">
        <v>32</v>
      </c>
      <c r="E8" s="74"/>
      <c r="F8" s="72">
        <v>5</v>
      </c>
      <c r="G8" s="72">
        <v>4</v>
      </c>
      <c r="H8" s="75">
        <f t="shared" si="0"/>
        <v>650000</v>
      </c>
      <c r="I8" s="76">
        <f t="shared" si="1"/>
        <v>50000</v>
      </c>
      <c r="J8" s="82" t="s">
        <v>90</v>
      </c>
      <c r="K8" s="83"/>
      <c r="L8" s="84"/>
      <c r="M8" s="85">
        <v>4</v>
      </c>
      <c r="N8" s="75">
        <f>N12*10%</f>
        <v>600000</v>
      </c>
    </row>
    <row r="9" spans="1:14" s="81" customFormat="1" ht="18" customHeight="1">
      <c r="A9" s="378" t="s">
        <v>42</v>
      </c>
      <c r="B9" s="247">
        <v>19.4</v>
      </c>
      <c r="C9" s="72">
        <v>32</v>
      </c>
      <c r="D9" s="92">
        <v>37</v>
      </c>
      <c r="E9" s="74"/>
      <c r="F9" s="89">
        <v>6</v>
      </c>
      <c r="G9" s="89">
        <v>3</v>
      </c>
      <c r="H9" s="75">
        <f t="shared" si="0"/>
        <v>530000</v>
      </c>
      <c r="I9" s="76">
        <f t="shared" si="1"/>
        <v>50000</v>
      </c>
      <c r="J9" s="82" t="s">
        <v>91</v>
      </c>
      <c r="K9" s="83"/>
      <c r="L9" s="84"/>
      <c r="M9" s="85">
        <v>3</v>
      </c>
      <c r="N9" s="75">
        <f>N12*8%</f>
        <v>480000</v>
      </c>
    </row>
    <row r="10" spans="1:14" s="81" customFormat="1" ht="18" customHeight="1">
      <c r="A10" s="378" t="s">
        <v>50</v>
      </c>
      <c r="B10" s="247">
        <v>24.7</v>
      </c>
      <c r="C10" s="73">
        <v>32</v>
      </c>
      <c r="D10" s="73">
        <v>34</v>
      </c>
      <c r="E10" s="88"/>
      <c r="F10" s="72">
        <v>7</v>
      </c>
      <c r="G10" s="72">
        <v>2</v>
      </c>
      <c r="H10" s="75">
        <f t="shared" si="0"/>
        <v>410000</v>
      </c>
      <c r="I10" s="76">
        <f t="shared" si="1"/>
        <v>50000</v>
      </c>
      <c r="J10" s="82" t="s">
        <v>92</v>
      </c>
      <c r="K10" s="83"/>
      <c r="L10" s="84"/>
      <c r="M10" s="85">
        <v>2</v>
      </c>
      <c r="N10" s="75">
        <f>N12*6%</f>
        <v>360000</v>
      </c>
    </row>
    <row r="11" spans="1:14" s="81" customFormat="1" ht="18" customHeight="1">
      <c r="A11" s="378" t="s">
        <v>22</v>
      </c>
      <c r="B11" s="247">
        <v>12.1</v>
      </c>
      <c r="C11" s="73">
        <v>31</v>
      </c>
      <c r="D11" s="92">
        <v>30</v>
      </c>
      <c r="E11" s="74"/>
      <c r="F11" s="72">
        <v>8</v>
      </c>
      <c r="G11" s="72">
        <v>1</v>
      </c>
      <c r="H11" s="75">
        <f t="shared" si="0"/>
        <v>290000</v>
      </c>
      <c r="I11" s="76">
        <f t="shared" si="1"/>
        <v>50000</v>
      </c>
      <c r="J11" s="82" t="s">
        <v>93</v>
      </c>
      <c r="K11" s="83"/>
      <c r="L11" s="84"/>
      <c r="M11" s="85">
        <v>1</v>
      </c>
      <c r="N11" s="75">
        <f>N12*4%</f>
        <v>240000</v>
      </c>
    </row>
    <row r="12" spans="1:14" s="81" customFormat="1" ht="18" customHeight="1">
      <c r="A12" s="378" t="s">
        <v>30</v>
      </c>
      <c r="B12" s="247">
        <v>9.7</v>
      </c>
      <c r="C12" s="72">
        <v>30</v>
      </c>
      <c r="D12" s="73">
        <v>31</v>
      </c>
      <c r="E12" s="74"/>
      <c r="F12" s="72"/>
      <c r="G12" s="72"/>
      <c r="H12" s="75">
        <f aca="true" t="shared" si="2" ref="H12:H28">I12</f>
        <v>50000</v>
      </c>
      <c r="I12" s="76">
        <f aca="true" t="shared" si="3" ref="I12:I28">IF(E12&gt;0,$N$13,0)+IF(C12&gt;0,50000,0)+IF(C12&lt;0,50000,0)</f>
        <v>50000</v>
      </c>
      <c r="J12" s="90" t="s">
        <v>94</v>
      </c>
      <c r="K12" s="83"/>
      <c r="L12" s="84"/>
      <c r="M12" s="85"/>
      <c r="N12" s="91">
        <v>6000000</v>
      </c>
    </row>
    <row r="13" spans="1:14" s="81" customFormat="1" ht="18" customHeight="1">
      <c r="A13" s="378" t="s">
        <v>52</v>
      </c>
      <c r="B13" s="247">
        <v>11.6</v>
      </c>
      <c r="C13" s="12">
        <v>29</v>
      </c>
      <c r="D13" s="73">
        <v>35</v>
      </c>
      <c r="E13" s="74"/>
      <c r="F13" s="72"/>
      <c r="G13" s="72"/>
      <c r="H13" s="75">
        <f t="shared" si="2"/>
        <v>50000</v>
      </c>
      <c r="I13" s="76">
        <f t="shared" si="3"/>
        <v>50000</v>
      </c>
      <c r="J13" s="93" t="s">
        <v>95</v>
      </c>
      <c r="K13" s="94"/>
      <c r="L13" s="95"/>
      <c r="M13" s="96">
        <v>1</v>
      </c>
      <c r="N13" s="97">
        <f>N10</f>
        <v>360000</v>
      </c>
    </row>
    <row r="14" spans="1:14" s="81" customFormat="1" ht="18" customHeight="1">
      <c r="A14" s="378" t="s">
        <v>44</v>
      </c>
      <c r="B14" s="247">
        <v>15.1</v>
      </c>
      <c r="C14" s="92">
        <v>29</v>
      </c>
      <c r="D14" s="73">
        <v>36</v>
      </c>
      <c r="E14" s="74">
        <v>4.34</v>
      </c>
      <c r="F14" s="72"/>
      <c r="G14" s="72"/>
      <c r="H14" s="75">
        <f t="shared" si="2"/>
        <v>410000</v>
      </c>
      <c r="I14" s="76">
        <f t="shared" si="3"/>
        <v>410000</v>
      </c>
      <c r="J14" s="98"/>
      <c r="K14" s="94"/>
      <c r="L14" s="94"/>
      <c r="M14" s="99"/>
      <c r="N14" s="100"/>
    </row>
    <row r="15" spans="1:14" s="81" customFormat="1" ht="18" customHeight="1">
      <c r="A15" s="378" t="s">
        <v>40</v>
      </c>
      <c r="B15" s="247">
        <v>21.7</v>
      </c>
      <c r="C15" s="72">
        <v>28</v>
      </c>
      <c r="D15" s="92">
        <v>36</v>
      </c>
      <c r="E15" s="88"/>
      <c r="F15" s="72"/>
      <c r="G15" s="72"/>
      <c r="H15" s="75">
        <f t="shared" si="2"/>
        <v>50000</v>
      </c>
      <c r="I15" s="76">
        <f t="shared" si="3"/>
        <v>50000</v>
      </c>
      <c r="J15" s="101"/>
      <c r="K15" s="102"/>
      <c r="L15" s="102"/>
      <c r="M15" s="103"/>
      <c r="N15" s="104"/>
    </row>
    <row r="16" spans="1:9" s="81" customFormat="1" ht="18" customHeight="1">
      <c r="A16" s="378" t="s">
        <v>48</v>
      </c>
      <c r="B16" s="247">
        <v>7.6</v>
      </c>
      <c r="C16" s="72">
        <v>27</v>
      </c>
      <c r="D16" s="73">
        <v>37</v>
      </c>
      <c r="E16" s="74"/>
      <c r="F16" s="12"/>
      <c r="G16" s="12"/>
      <c r="H16" s="75">
        <f t="shared" si="2"/>
        <v>50000</v>
      </c>
      <c r="I16" s="76">
        <f t="shared" si="3"/>
        <v>50000</v>
      </c>
    </row>
    <row r="17" spans="1:13" s="81" customFormat="1" ht="18" customHeight="1">
      <c r="A17" s="378" t="s">
        <v>18</v>
      </c>
      <c r="B17" s="247">
        <v>13.8</v>
      </c>
      <c r="C17" s="73">
        <v>27</v>
      </c>
      <c r="D17" s="92">
        <v>36</v>
      </c>
      <c r="E17" s="88"/>
      <c r="F17" s="12"/>
      <c r="G17" s="12"/>
      <c r="H17" s="75">
        <f t="shared" si="2"/>
        <v>50000</v>
      </c>
      <c r="I17" s="76">
        <f t="shared" si="3"/>
        <v>50000</v>
      </c>
      <c r="J17" s="86"/>
      <c r="K17" s="86"/>
      <c r="L17" s="86"/>
      <c r="M17" s="87"/>
    </row>
    <row r="18" spans="1:13" s="81" customFormat="1" ht="18" customHeight="1">
      <c r="A18" s="378" t="s">
        <v>20</v>
      </c>
      <c r="B18" s="247">
        <v>16.7</v>
      </c>
      <c r="C18" s="73">
        <v>27</v>
      </c>
      <c r="D18" s="73">
        <v>34</v>
      </c>
      <c r="E18" s="74"/>
      <c r="F18" s="72"/>
      <c r="G18" s="72"/>
      <c r="H18" s="75">
        <f t="shared" si="2"/>
        <v>50000</v>
      </c>
      <c r="I18" s="76">
        <f t="shared" si="3"/>
        <v>50000</v>
      </c>
      <c r="J18" s="87"/>
      <c r="K18" s="87"/>
      <c r="L18" s="87"/>
      <c r="M18" s="87"/>
    </row>
    <row r="19" spans="1:13" s="81" customFormat="1" ht="18" customHeight="1">
      <c r="A19" s="378" t="s">
        <v>16</v>
      </c>
      <c r="B19" s="247">
        <v>19.3</v>
      </c>
      <c r="C19" s="73">
        <v>27</v>
      </c>
      <c r="D19" s="73">
        <v>40</v>
      </c>
      <c r="E19" s="74"/>
      <c r="F19" s="72"/>
      <c r="G19" s="72"/>
      <c r="H19" s="75">
        <f t="shared" si="2"/>
        <v>50000</v>
      </c>
      <c r="I19" s="76">
        <f t="shared" si="3"/>
        <v>50000</v>
      </c>
      <c r="J19" s="87"/>
      <c r="K19" s="87"/>
      <c r="L19" s="87"/>
      <c r="M19" s="87"/>
    </row>
    <row r="20" spans="1:9" s="57" customFormat="1" ht="18" customHeight="1">
      <c r="A20" s="378" t="s">
        <v>166</v>
      </c>
      <c r="B20" s="247">
        <v>14.9</v>
      </c>
      <c r="C20" s="72">
        <v>25</v>
      </c>
      <c r="D20" s="73">
        <v>37</v>
      </c>
      <c r="E20" s="88"/>
      <c r="F20" s="12"/>
      <c r="G20" s="12"/>
      <c r="H20" s="75">
        <f t="shared" si="2"/>
        <v>50000</v>
      </c>
      <c r="I20" s="76">
        <f t="shared" si="3"/>
        <v>50000</v>
      </c>
    </row>
    <row r="21" spans="1:9" s="57" customFormat="1" ht="18" customHeight="1">
      <c r="A21" s="378" t="s">
        <v>36</v>
      </c>
      <c r="B21" s="247">
        <v>18.2</v>
      </c>
      <c r="C21" s="72">
        <v>22</v>
      </c>
      <c r="D21" s="73">
        <v>39</v>
      </c>
      <c r="E21" s="74"/>
      <c r="F21" s="12"/>
      <c r="G21" s="12"/>
      <c r="H21" s="75">
        <f t="shared" si="2"/>
        <v>50000</v>
      </c>
      <c r="I21" s="76">
        <f t="shared" si="3"/>
        <v>50000</v>
      </c>
    </row>
    <row r="22" spans="1:9" s="57" customFormat="1" ht="18" customHeight="1">
      <c r="A22" s="378"/>
      <c r="B22" s="247"/>
      <c r="C22" s="72"/>
      <c r="D22" s="73"/>
      <c r="E22" s="74"/>
      <c r="F22" s="12"/>
      <c r="G22" s="12"/>
      <c r="H22" s="75">
        <f t="shared" si="2"/>
        <v>0</v>
      </c>
      <c r="I22" s="76">
        <f t="shared" si="3"/>
        <v>0</v>
      </c>
    </row>
    <row r="23" spans="1:9" s="57" customFormat="1" ht="18" customHeight="1">
      <c r="A23" s="378"/>
      <c r="B23" s="247"/>
      <c r="C23" s="72"/>
      <c r="D23" s="73"/>
      <c r="E23" s="74"/>
      <c r="F23" s="12"/>
      <c r="G23" s="12"/>
      <c r="H23" s="75">
        <f t="shared" si="2"/>
        <v>0</v>
      </c>
      <c r="I23" s="76">
        <f t="shared" si="3"/>
        <v>0</v>
      </c>
    </row>
    <row r="24" spans="1:9" s="57" customFormat="1" ht="18" customHeight="1">
      <c r="A24" s="378"/>
      <c r="B24" s="247"/>
      <c r="C24" s="72"/>
      <c r="D24" s="73"/>
      <c r="E24" s="74"/>
      <c r="F24" s="12"/>
      <c r="G24" s="12"/>
      <c r="H24" s="75">
        <f t="shared" si="2"/>
        <v>0</v>
      </c>
      <c r="I24" s="76">
        <f t="shared" si="3"/>
        <v>0</v>
      </c>
    </row>
    <row r="25" spans="1:9" s="57" customFormat="1" ht="18" customHeight="1">
      <c r="A25" s="378"/>
      <c r="B25" s="247"/>
      <c r="C25" s="72"/>
      <c r="D25" s="92"/>
      <c r="E25" s="88"/>
      <c r="F25" s="12"/>
      <c r="G25" s="12"/>
      <c r="H25" s="75">
        <f t="shared" si="2"/>
        <v>0</v>
      </c>
      <c r="I25" s="76">
        <f t="shared" si="3"/>
        <v>0</v>
      </c>
    </row>
    <row r="26" spans="1:9" s="57" customFormat="1" ht="18" customHeight="1">
      <c r="A26" s="378"/>
      <c r="B26" s="247"/>
      <c r="C26" s="72"/>
      <c r="D26" s="92"/>
      <c r="E26" s="88"/>
      <c r="F26" s="12"/>
      <c r="G26" s="12"/>
      <c r="H26" s="75">
        <f>I26</f>
        <v>0</v>
      </c>
      <c r="I26" s="76"/>
    </row>
    <row r="27" spans="1:9" s="57" customFormat="1" ht="18" customHeight="1">
      <c r="A27" s="378"/>
      <c r="B27" s="247"/>
      <c r="C27" s="72"/>
      <c r="D27" s="92"/>
      <c r="E27" s="88"/>
      <c r="F27" s="72"/>
      <c r="G27" s="72"/>
      <c r="H27" s="75">
        <f t="shared" si="2"/>
        <v>0</v>
      </c>
      <c r="I27" s="76">
        <f t="shared" si="3"/>
        <v>0</v>
      </c>
    </row>
    <row r="28" spans="1:9" s="57" customFormat="1" ht="18" customHeight="1">
      <c r="A28" s="378"/>
      <c r="B28" s="247"/>
      <c r="C28" s="72"/>
      <c r="D28" s="73"/>
      <c r="E28" s="88"/>
      <c r="F28" s="72"/>
      <c r="G28" s="72"/>
      <c r="H28" s="75">
        <f t="shared" si="2"/>
        <v>0</v>
      </c>
      <c r="I28" s="76">
        <f t="shared" si="3"/>
        <v>0</v>
      </c>
    </row>
    <row r="29" spans="1:9" ht="24" customHeight="1">
      <c r="A29" s="1"/>
      <c r="B29" s="3"/>
      <c r="C29" s="106"/>
      <c r="D29" s="107">
        <f>SUM(D4:D28)</f>
        <v>615</v>
      </c>
      <c r="E29" s="106"/>
      <c r="F29" s="3"/>
      <c r="G29" s="108">
        <f>SUM(G4:G28)</f>
        <v>39</v>
      </c>
      <c r="H29" s="108">
        <f>SUM(H4:H28)</f>
        <v>7260000</v>
      </c>
      <c r="I29" s="109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A1" sqref="A1:N28"/>
    </sheetView>
  </sheetViews>
  <sheetFormatPr defaultColWidth="9.140625" defaultRowHeight="12.75"/>
  <cols>
    <col min="1" max="1" width="25.140625" style="54" customWidth="1"/>
    <col min="2" max="2" width="7.8515625" style="55" customWidth="1"/>
    <col min="3" max="3" width="8.421875" style="56" customWidth="1"/>
    <col min="4" max="4" width="6.8515625" style="55" customWidth="1"/>
    <col min="5" max="5" width="8.140625" style="55" customWidth="1"/>
    <col min="6" max="6" width="10.140625" style="55" customWidth="1"/>
    <col min="7" max="7" width="9.140625" style="55" customWidth="1"/>
    <col min="8" max="8" width="13.421875" style="55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57" customFormat="1" ht="43.5" customHeight="1">
      <c r="B1" s="435" t="s">
        <v>141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</row>
    <row r="2" spans="2:14" s="57" customFormat="1" ht="29.25" customHeight="1">
      <c r="B2" s="444" t="s">
        <v>262</v>
      </c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</row>
    <row r="3" spans="1:14" s="70" customFormat="1" ht="27" customHeight="1">
      <c r="A3" s="59" t="s">
        <v>77</v>
      </c>
      <c r="B3" s="60" t="s">
        <v>78</v>
      </c>
      <c r="C3" s="60" t="s">
        <v>79</v>
      </c>
      <c r="D3" s="60" t="s">
        <v>80</v>
      </c>
      <c r="E3" s="60" t="s">
        <v>81</v>
      </c>
      <c r="F3" s="61" t="s">
        <v>82</v>
      </c>
      <c r="G3" s="62" t="s">
        <v>83</v>
      </c>
      <c r="H3" s="63" t="s">
        <v>84</v>
      </c>
      <c r="I3" s="64"/>
      <c r="J3" s="65" t="s">
        <v>82</v>
      </c>
      <c r="K3" s="66"/>
      <c r="L3" s="67"/>
      <c r="M3" s="68" t="s">
        <v>83</v>
      </c>
      <c r="N3" s="69" t="s">
        <v>85</v>
      </c>
    </row>
    <row r="4" spans="1:14" s="81" customFormat="1" ht="18" customHeight="1">
      <c r="A4" s="378" t="s">
        <v>12</v>
      </c>
      <c r="B4" s="247">
        <v>16.1</v>
      </c>
      <c r="C4" s="12">
        <v>36</v>
      </c>
      <c r="D4" s="73">
        <v>32</v>
      </c>
      <c r="E4" s="88"/>
      <c r="F4" s="72">
        <v>1</v>
      </c>
      <c r="G4" s="72">
        <v>10</v>
      </c>
      <c r="H4" s="75">
        <f aca="true" t="shared" si="0" ref="H4:H11">N4+I4</f>
        <v>1550000</v>
      </c>
      <c r="I4" s="76">
        <f aca="true" t="shared" si="1" ref="I4:I11">IF(E4&gt;0,$N$13,0)+IF(C4&gt;0,50000,0)+IF(C12&lt;0,50000,0)</f>
        <v>50000</v>
      </c>
      <c r="J4" s="77" t="s">
        <v>86</v>
      </c>
      <c r="K4" s="78"/>
      <c r="L4" s="79"/>
      <c r="M4" s="80">
        <v>10</v>
      </c>
      <c r="N4" s="75">
        <f>N12*25%</f>
        <v>1500000</v>
      </c>
    </row>
    <row r="5" spans="1:14" s="81" customFormat="1" ht="18" customHeight="1">
      <c r="A5" s="378" t="s">
        <v>166</v>
      </c>
      <c r="B5" s="247">
        <v>14.9</v>
      </c>
      <c r="C5" s="72">
        <v>34</v>
      </c>
      <c r="D5" s="73">
        <v>29</v>
      </c>
      <c r="E5" s="74"/>
      <c r="F5" s="72">
        <v>2</v>
      </c>
      <c r="G5" s="72">
        <v>8</v>
      </c>
      <c r="H5" s="75">
        <f t="shared" si="0"/>
        <v>1250000</v>
      </c>
      <c r="I5" s="76">
        <f t="shared" si="1"/>
        <v>50000</v>
      </c>
      <c r="J5" s="82" t="s">
        <v>87</v>
      </c>
      <c r="K5" s="83"/>
      <c r="L5" s="84"/>
      <c r="M5" s="85">
        <v>8</v>
      </c>
      <c r="N5" s="75">
        <f>N12*20%</f>
        <v>1200000</v>
      </c>
    </row>
    <row r="6" spans="1:14" s="81" customFormat="1" ht="18" customHeight="1">
      <c r="A6" s="378" t="s">
        <v>16</v>
      </c>
      <c r="B6" s="247">
        <v>19.3</v>
      </c>
      <c r="C6" s="72">
        <v>34</v>
      </c>
      <c r="D6" s="92">
        <v>32</v>
      </c>
      <c r="E6" s="88"/>
      <c r="F6" s="12">
        <v>3</v>
      </c>
      <c r="G6" s="12">
        <v>6</v>
      </c>
      <c r="H6" s="75">
        <f t="shared" si="0"/>
        <v>950000</v>
      </c>
      <c r="I6" s="76">
        <f t="shared" si="1"/>
        <v>50000</v>
      </c>
      <c r="J6" s="82" t="s">
        <v>88</v>
      </c>
      <c r="K6" s="83"/>
      <c r="L6" s="84"/>
      <c r="M6" s="85">
        <v>6</v>
      </c>
      <c r="N6" s="75">
        <f>N12*15%</f>
        <v>900000</v>
      </c>
    </row>
    <row r="7" spans="1:18" s="81" customFormat="1" ht="18" customHeight="1">
      <c r="A7" s="378" t="s">
        <v>38</v>
      </c>
      <c r="B7" s="247">
        <v>14.1</v>
      </c>
      <c r="C7" s="92">
        <v>33</v>
      </c>
      <c r="D7" s="73">
        <v>33</v>
      </c>
      <c r="E7" s="88"/>
      <c r="F7" s="72">
        <v>4</v>
      </c>
      <c r="G7" s="72">
        <v>5</v>
      </c>
      <c r="H7" s="75">
        <f t="shared" si="0"/>
        <v>770000</v>
      </c>
      <c r="I7" s="76">
        <f t="shared" si="1"/>
        <v>50000</v>
      </c>
      <c r="J7" s="82" t="s">
        <v>89</v>
      </c>
      <c r="K7" s="83"/>
      <c r="L7" s="84"/>
      <c r="M7" s="85">
        <v>5</v>
      </c>
      <c r="N7" s="75">
        <f>N12*12%</f>
        <v>720000</v>
      </c>
      <c r="O7" s="86"/>
      <c r="P7" s="86"/>
      <c r="Q7" s="86"/>
      <c r="R7" s="87"/>
    </row>
    <row r="8" spans="1:14" s="81" customFormat="1" ht="18" customHeight="1">
      <c r="A8" s="378" t="s">
        <v>30</v>
      </c>
      <c r="B8" s="247">
        <v>9.6</v>
      </c>
      <c r="C8" s="73">
        <v>32</v>
      </c>
      <c r="D8" s="73">
        <v>33</v>
      </c>
      <c r="E8" s="74"/>
      <c r="F8" s="72">
        <v>5</v>
      </c>
      <c r="G8" s="72">
        <v>4</v>
      </c>
      <c r="H8" s="75">
        <f t="shared" si="0"/>
        <v>650000</v>
      </c>
      <c r="I8" s="76">
        <f t="shared" si="1"/>
        <v>50000</v>
      </c>
      <c r="J8" s="82" t="s">
        <v>90</v>
      </c>
      <c r="K8" s="83"/>
      <c r="L8" s="84"/>
      <c r="M8" s="85">
        <v>4</v>
      </c>
      <c r="N8" s="75">
        <f>N12*10%</f>
        <v>600000</v>
      </c>
    </row>
    <row r="9" spans="1:14" s="81" customFormat="1" ht="18" customHeight="1">
      <c r="A9" s="378" t="s">
        <v>28</v>
      </c>
      <c r="B9" s="247">
        <v>12</v>
      </c>
      <c r="C9" s="72">
        <v>31</v>
      </c>
      <c r="D9" s="73">
        <v>31</v>
      </c>
      <c r="E9" s="74"/>
      <c r="F9" s="89">
        <v>6</v>
      </c>
      <c r="G9" s="89">
        <v>3</v>
      </c>
      <c r="H9" s="75">
        <f t="shared" si="0"/>
        <v>530000</v>
      </c>
      <c r="I9" s="76">
        <f t="shared" si="1"/>
        <v>50000</v>
      </c>
      <c r="J9" s="82" t="s">
        <v>91</v>
      </c>
      <c r="K9" s="83"/>
      <c r="L9" s="84"/>
      <c r="M9" s="85">
        <v>3</v>
      </c>
      <c r="N9" s="75">
        <f>N12*8%</f>
        <v>480000</v>
      </c>
    </row>
    <row r="10" spans="1:14" s="81" customFormat="1" ht="18" customHeight="1">
      <c r="A10" s="378" t="s">
        <v>48</v>
      </c>
      <c r="B10" s="247">
        <v>7.5</v>
      </c>
      <c r="C10" s="73">
        <v>30</v>
      </c>
      <c r="D10" s="73">
        <v>28</v>
      </c>
      <c r="E10" s="88">
        <v>5.69</v>
      </c>
      <c r="F10" s="72">
        <v>7</v>
      </c>
      <c r="G10" s="72">
        <v>2</v>
      </c>
      <c r="H10" s="75">
        <f t="shared" si="0"/>
        <v>770000</v>
      </c>
      <c r="I10" s="76">
        <f t="shared" si="1"/>
        <v>410000</v>
      </c>
      <c r="J10" s="82" t="s">
        <v>92</v>
      </c>
      <c r="K10" s="83"/>
      <c r="L10" s="84"/>
      <c r="M10" s="85">
        <v>2</v>
      </c>
      <c r="N10" s="75">
        <f>N12*6%</f>
        <v>360000</v>
      </c>
    </row>
    <row r="11" spans="1:14" s="81" customFormat="1" ht="18" customHeight="1">
      <c r="A11" s="378" t="s">
        <v>42</v>
      </c>
      <c r="B11" s="247">
        <v>19.3</v>
      </c>
      <c r="C11" s="72">
        <v>30</v>
      </c>
      <c r="D11" s="92">
        <v>35</v>
      </c>
      <c r="E11" s="88"/>
      <c r="F11" s="72">
        <v>8</v>
      </c>
      <c r="G11" s="72">
        <v>1</v>
      </c>
      <c r="H11" s="75">
        <f t="shared" si="0"/>
        <v>290000</v>
      </c>
      <c r="I11" s="76">
        <f t="shared" si="1"/>
        <v>50000</v>
      </c>
      <c r="J11" s="82" t="s">
        <v>93</v>
      </c>
      <c r="K11" s="83"/>
      <c r="L11" s="84"/>
      <c r="M11" s="85">
        <v>1</v>
      </c>
      <c r="N11" s="75">
        <f>N12*4%</f>
        <v>240000</v>
      </c>
    </row>
    <row r="12" spans="1:14" s="81" customFormat="1" ht="18" customHeight="1">
      <c r="A12" s="378" t="s">
        <v>8</v>
      </c>
      <c r="B12" s="247">
        <v>20.5</v>
      </c>
      <c r="C12" s="72">
        <v>30</v>
      </c>
      <c r="D12" s="73">
        <v>36</v>
      </c>
      <c r="E12" s="74"/>
      <c r="F12" s="72"/>
      <c r="G12" s="72"/>
      <c r="H12" s="75">
        <f aca="true" t="shared" si="2" ref="H12:H27">I12</f>
        <v>50000</v>
      </c>
      <c r="I12" s="76">
        <f aca="true" t="shared" si="3" ref="I12:I27">IF(E12&gt;0,$N$13,0)+IF(C12&gt;0,50000,0)+IF(C12&lt;0,50000,0)</f>
        <v>50000</v>
      </c>
      <c r="J12" s="90" t="s">
        <v>94</v>
      </c>
      <c r="K12" s="83"/>
      <c r="L12" s="84"/>
      <c r="M12" s="85"/>
      <c r="N12" s="91">
        <v>6000000</v>
      </c>
    </row>
    <row r="13" spans="1:14" s="81" customFormat="1" ht="18" customHeight="1">
      <c r="A13" s="378" t="s">
        <v>18</v>
      </c>
      <c r="B13" s="247">
        <v>14</v>
      </c>
      <c r="C13" s="73">
        <v>29</v>
      </c>
      <c r="D13" s="92">
        <v>36</v>
      </c>
      <c r="E13" s="74"/>
      <c r="F13" s="72"/>
      <c r="G13" s="72"/>
      <c r="H13" s="75">
        <f t="shared" si="2"/>
        <v>50000</v>
      </c>
      <c r="I13" s="76">
        <f t="shared" si="3"/>
        <v>50000</v>
      </c>
      <c r="J13" s="93" t="s">
        <v>95</v>
      </c>
      <c r="K13" s="94"/>
      <c r="L13" s="95"/>
      <c r="M13" s="96"/>
      <c r="N13" s="97">
        <f>N10</f>
        <v>360000</v>
      </c>
    </row>
    <row r="14" spans="1:14" s="81" customFormat="1" ht="18" customHeight="1">
      <c r="A14" s="378" t="s">
        <v>44</v>
      </c>
      <c r="B14" s="247">
        <v>15</v>
      </c>
      <c r="C14" s="73">
        <v>28</v>
      </c>
      <c r="D14" s="92">
        <v>37</v>
      </c>
      <c r="E14" s="74"/>
      <c r="F14" s="72"/>
      <c r="G14" s="72"/>
      <c r="H14" s="75">
        <f t="shared" si="2"/>
        <v>50000</v>
      </c>
      <c r="I14" s="76">
        <f t="shared" si="3"/>
        <v>50000</v>
      </c>
      <c r="J14" s="98"/>
      <c r="K14" s="94"/>
      <c r="L14" s="94"/>
      <c r="M14" s="99"/>
      <c r="N14" s="100"/>
    </row>
    <row r="15" spans="1:14" s="81" customFormat="1" ht="18" customHeight="1">
      <c r="A15" s="378" t="s">
        <v>34</v>
      </c>
      <c r="B15" s="247">
        <v>15.2</v>
      </c>
      <c r="C15" s="72">
        <v>28</v>
      </c>
      <c r="D15" s="92">
        <v>35</v>
      </c>
      <c r="E15" s="74"/>
      <c r="F15" s="72"/>
      <c r="G15" s="72"/>
      <c r="H15" s="75">
        <f t="shared" si="2"/>
        <v>50000</v>
      </c>
      <c r="I15" s="76">
        <f t="shared" si="3"/>
        <v>50000</v>
      </c>
      <c r="J15" s="101"/>
      <c r="K15" s="102"/>
      <c r="L15" s="102"/>
      <c r="M15" s="103"/>
      <c r="N15" s="104"/>
    </row>
    <row r="16" spans="1:9" s="81" customFormat="1" ht="18" customHeight="1">
      <c r="A16" s="378" t="s">
        <v>46</v>
      </c>
      <c r="B16" s="247">
        <v>21.6</v>
      </c>
      <c r="C16" s="72">
        <v>27</v>
      </c>
      <c r="D16" s="73">
        <v>40</v>
      </c>
      <c r="E16" s="74"/>
      <c r="F16" s="12"/>
      <c r="G16" s="12"/>
      <c r="H16" s="75">
        <f t="shared" si="2"/>
        <v>50000</v>
      </c>
      <c r="I16" s="76">
        <f t="shared" si="3"/>
        <v>50000</v>
      </c>
    </row>
    <row r="17" spans="1:18" s="81" customFormat="1" ht="18" customHeight="1">
      <c r="A17" s="378" t="s">
        <v>40</v>
      </c>
      <c r="B17" s="247">
        <v>21.6</v>
      </c>
      <c r="C17" s="72">
        <v>26</v>
      </c>
      <c r="D17" s="73">
        <v>43</v>
      </c>
      <c r="E17" s="74"/>
      <c r="F17" s="12"/>
      <c r="G17" s="12"/>
      <c r="H17" s="75">
        <f t="shared" si="2"/>
        <v>50000</v>
      </c>
      <c r="I17" s="76">
        <f t="shared" si="3"/>
        <v>50000</v>
      </c>
      <c r="O17" s="86"/>
      <c r="P17" s="86"/>
      <c r="Q17" s="86"/>
      <c r="R17" s="87"/>
    </row>
    <row r="18" spans="1:14" s="81" customFormat="1" ht="18" customHeight="1">
      <c r="A18" s="378" t="s">
        <v>36</v>
      </c>
      <c r="B18" s="247">
        <v>18.1</v>
      </c>
      <c r="C18" s="72">
        <v>22</v>
      </c>
      <c r="D18" s="92">
        <v>38</v>
      </c>
      <c r="E18" s="74"/>
      <c r="F18" s="72"/>
      <c r="G18" s="72"/>
      <c r="H18" s="75">
        <f t="shared" si="2"/>
        <v>50000</v>
      </c>
      <c r="I18" s="76">
        <f t="shared" si="3"/>
        <v>50000</v>
      </c>
      <c r="J18" s="103"/>
      <c r="K18" s="103"/>
      <c r="L18" s="103"/>
      <c r="M18" s="103"/>
      <c r="N18" s="103"/>
    </row>
    <row r="19" spans="1:14" s="81" customFormat="1" ht="18" customHeight="1">
      <c r="A19" s="378"/>
      <c r="B19" s="247"/>
      <c r="C19" s="72"/>
      <c r="D19" s="73"/>
      <c r="E19" s="88"/>
      <c r="F19" s="72"/>
      <c r="G19" s="72"/>
      <c r="H19" s="75">
        <f t="shared" si="2"/>
        <v>0</v>
      </c>
      <c r="I19" s="76">
        <f t="shared" si="3"/>
        <v>0</v>
      </c>
      <c r="J19" s="103"/>
      <c r="K19" s="103"/>
      <c r="L19" s="103"/>
      <c r="M19" s="104"/>
      <c r="N19" s="104"/>
    </row>
    <row r="20" spans="1:14" s="57" customFormat="1" ht="18" customHeight="1">
      <c r="A20" s="378"/>
      <c r="B20" s="247"/>
      <c r="C20" s="72"/>
      <c r="D20" s="73"/>
      <c r="E20" s="74"/>
      <c r="F20" s="12"/>
      <c r="G20" s="12"/>
      <c r="H20" s="75">
        <f t="shared" si="2"/>
        <v>0</v>
      </c>
      <c r="I20" s="76">
        <f t="shared" si="3"/>
        <v>0</v>
      </c>
      <c r="J20" s="103"/>
      <c r="K20" s="103"/>
      <c r="L20" s="103"/>
      <c r="M20" s="104"/>
      <c r="N20" s="104"/>
    </row>
    <row r="21" spans="1:14" s="57" customFormat="1" ht="18" customHeight="1">
      <c r="A21" s="378"/>
      <c r="B21" s="247"/>
      <c r="C21" s="72"/>
      <c r="D21" s="73"/>
      <c r="E21" s="74"/>
      <c r="F21" s="12"/>
      <c r="G21" s="12"/>
      <c r="H21" s="75">
        <f t="shared" si="2"/>
        <v>0</v>
      </c>
      <c r="I21" s="76">
        <f t="shared" si="3"/>
        <v>0</v>
      </c>
      <c r="J21" s="103"/>
      <c r="K21" s="103"/>
      <c r="L21" s="103"/>
      <c r="M21" s="104"/>
      <c r="N21" s="104"/>
    </row>
    <row r="22" spans="1:14" s="57" customFormat="1" ht="18" customHeight="1">
      <c r="A22" s="378"/>
      <c r="B22" s="247"/>
      <c r="C22" s="72"/>
      <c r="D22" s="73"/>
      <c r="E22" s="88"/>
      <c r="F22" s="12"/>
      <c r="G22" s="12"/>
      <c r="H22" s="75">
        <f t="shared" si="2"/>
        <v>0</v>
      </c>
      <c r="I22" s="76">
        <f t="shared" si="3"/>
        <v>0</v>
      </c>
      <c r="J22" s="103"/>
      <c r="K22" s="103"/>
      <c r="L22" s="103"/>
      <c r="M22" s="104"/>
      <c r="N22" s="104"/>
    </row>
    <row r="23" spans="1:14" s="57" customFormat="1" ht="18" customHeight="1">
      <c r="A23" s="378"/>
      <c r="B23" s="247"/>
      <c r="C23" s="72"/>
      <c r="D23" s="73"/>
      <c r="E23" s="74"/>
      <c r="F23" s="12"/>
      <c r="G23" s="12"/>
      <c r="H23" s="75">
        <f t="shared" si="2"/>
        <v>0</v>
      </c>
      <c r="I23" s="76">
        <f t="shared" si="3"/>
        <v>0</v>
      </c>
      <c r="J23" s="205"/>
      <c r="K23" s="205"/>
      <c r="L23" s="206"/>
      <c r="M23" s="207"/>
      <c r="N23" s="207"/>
    </row>
    <row r="24" spans="1:14" s="57" customFormat="1" ht="18" customHeight="1">
      <c r="A24" s="378"/>
      <c r="B24" s="247"/>
      <c r="C24" s="12"/>
      <c r="D24" s="73"/>
      <c r="E24" s="74"/>
      <c r="F24" s="12"/>
      <c r="G24" s="12"/>
      <c r="H24" s="75">
        <f t="shared" si="2"/>
        <v>0</v>
      </c>
      <c r="I24" s="76">
        <f t="shared" si="3"/>
        <v>0</v>
      </c>
      <c r="J24" s="205"/>
      <c r="K24" s="205"/>
      <c r="L24" s="206"/>
      <c r="M24" s="207"/>
      <c r="N24" s="207"/>
    </row>
    <row r="25" spans="1:14" s="57" customFormat="1" ht="18" customHeight="1">
      <c r="A25" s="378"/>
      <c r="B25" s="247"/>
      <c r="C25" s="72"/>
      <c r="D25" s="92"/>
      <c r="E25" s="74"/>
      <c r="F25" s="12"/>
      <c r="G25" s="12"/>
      <c r="H25" s="75">
        <f t="shared" si="2"/>
        <v>0</v>
      </c>
      <c r="I25" s="76">
        <f t="shared" si="3"/>
        <v>0</v>
      </c>
      <c r="J25" s="103"/>
      <c r="K25" s="103"/>
      <c r="L25" s="103"/>
      <c r="M25" s="104"/>
      <c r="N25" s="104"/>
    </row>
    <row r="26" spans="1:14" s="57" customFormat="1" ht="18" customHeight="1">
      <c r="A26" s="152"/>
      <c r="B26" s="247"/>
      <c r="C26" s="73"/>
      <c r="D26" s="92"/>
      <c r="E26" s="74"/>
      <c r="F26" s="72"/>
      <c r="G26" s="72"/>
      <c r="H26" s="75">
        <f t="shared" si="2"/>
        <v>0</v>
      </c>
      <c r="I26" s="76">
        <f t="shared" si="3"/>
        <v>0</v>
      </c>
      <c r="J26" s="103"/>
      <c r="K26" s="103"/>
      <c r="L26" s="103"/>
      <c r="M26" s="104"/>
      <c r="N26" s="104"/>
    </row>
    <row r="27" spans="1:14" s="57" customFormat="1" ht="18" customHeight="1">
      <c r="A27" s="152"/>
      <c r="B27" s="247"/>
      <c r="C27" s="73"/>
      <c r="D27" s="73"/>
      <c r="E27" s="88"/>
      <c r="F27" s="72"/>
      <c r="G27" s="72"/>
      <c r="H27" s="75">
        <f t="shared" si="2"/>
        <v>0</v>
      </c>
      <c r="I27" s="76">
        <f t="shared" si="3"/>
        <v>0</v>
      </c>
      <c r="J27" s="103"/>
      <c r="K27" s="103"/>
      <c r="L27" s="103"/>
      <c r="M27" s="104"/>
      <c r="N27" s="104"/>
    </row>
    <row r="28" spans="1:9" ht="24" customHeight="1">
      <c r="A28" s="1"/>
      <c r="B28" s="3"/>
      <c r="C28" s="106"/>
      <c r="D28" s="107">
        <f>SUM(D4:D27)</f>
        <v>518</v>
      </c>
      <c r="E28" s="106"/>
      <c r="F28" s="3"/>
      <c r="G28" s="108">
        <f>SUM(G4:G27)</f>
        <v>39</v>
      </c>
      <c r="H28" s="108">
        <f>SUM(H4:H27)</f>
        <v>7110000</v>
      </c>
      <c r="I28" s="109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zoomScalePageLayoutView="0" workbookViewId="0" topLeftCell="A1">
      <selection activeCell="A1" sqref="A1:N28"/>
    </sheetView>
  </sheetViews>
  <sheetFormatPr defaultColWidth="9.140625" defaultRowHeight="12.75"/>
  <cols>
    <col min="1" max="1" width="25.140625" style="54" customWidth="1"/>
    <col min="2" max="2" width="7.8515625" style="55" customWidth="1"/>
    <col min="3" max="3" width="8.421875" style="56" customWidth="1"/>
    <col min="4" max="4" width="6.8515625" style="55" customWidth="1"/>
    <col min="5" max="5" width="8.140625" style="55" customWidth="1"/>
    <col min="6" max="6" width="10.140625" style="55" customWidth="1"/>
    <col min="7" max="7" width="9.140625" style="55" customWidth="1"/>
    <col min="8" max="8" width="13.421875" style="55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57" customFormat="1" ht="43.5" customHeight="1">
      <c r="B1" s="435" t="s">
        <v>259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</row>
    <row r="2" spans="2:14" s="57" customFormat="1" ht="29.25" customHeight="1">
      <c r="B2" s="444" t="s">
        <v>260</v>
      </c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</row>
    <row r="3" spans="1:14" s="70" customFormat="1" ht="27" customHeight="1">
      <c r="A3" s="59" t="s">
        <v>77</v>
      </c>
      <c r="B3" s="60" t="s">
        <v>78</v>
      </c>
      <c r="C3" s="60" t="s">
        <v>105</v>
      </c>
      <c r="D3" s="60" t="s">
        <v>80</v>
      </c>
      <c r="E3" s="60" t="s">
        <v>81</v>
      </c>
      <c r="F3" s="61" t="s">
        <v>82</v>
      </c>
      <c r="G3" s="62" t="s">
        <v>83</v>
      </c>
      <c r="H3" s="63" t="s">
        <v>84</v>
      </c>
      <c r="I3" s="64"/>
      <c r="J3" s="65" t="s">
        <v>82</v>
      </c>
      <c r="K3" s="66"/>
      <c r="L3" s="67"/>
      <c r="M3" s="68" t="s">
        <v>83</v>
      </c>
      <c r="N3" s="69" t="s">
        <v>85</v>
      </c>
    </row>
    <row r="4" spans="1:14" s="81" customFormat="1" ht="18" customHeight="1">
      <c r="A4" s="378" t="s">
        <v>44</v>
      </c>
      <c r="B4" s="247">
        <v>16.5</v>
      </c>
      <c r="C4" s="72">
        <v>64</v>
      </c>
      <c r="D4" s="73">
        <v>31</v>
      </c>
      <c r="E4" s="88"/>
      <c r="F4" s="72">
        <v>1</v>
      </c>
      <c r="G4" s="72">
        <v>10</v>
      </c>
      <c r="H4" s="75">
        <f aca="true" t="shared" si="0" ref="H4:H11">N4+I4</f>
        <v>2050000</v>
      </c>
      <c r="I4" s="76">
        <f aca="true" t="shared" si="1" ref="I4:I11">IF(E4&gt;0,$N$13,0)+IF(C4&gt;0,50000,0)+IF(C12&lt;0,50000,0)</f>
        <v>50000</v>
      </c>
      <c r="J4" s="77" t="s">
        <v>86</v>
      </c>
      <c r="K4" s="78"/>
      <c r="L4" s="79"/>
      <c r="M4" s="80">
        <v>10</v>
      </c>
      <c r="N4" s="75">
        <f>N12*25%</f>
        <v>2000000</v>
      </c>
    </row>
    <row r="5" spans="1:14" s="81" customFormat="1" ht="18" customHeight="1">
      <c r="A5" s="378" t="s">
        <v>52</v>
      </c>
      <c r="B5" s="247">
        <v>12.8</v>
      </c>
      <c r="C5" s="72">
        <v>65</v>
      </c>
      <c r="D5" s="92">
        <v>30</v>
      </c>
      <c r="E5" s="88"/>
      <c r="F5" s="72">
        <v>2</v>
      </c>
      <c r="G5" s="72">
        <v>8</v>
      </c>
      <c r="H5" s="75">
        <f t="shared" si="0"/>
        <v>1650000</v>
      </c>
      <c r="I5" s="76">
        <f t="shared" si="1"/>
        <v>50000</v>
      </c>
      <c r="J5" s="82" t="s">
        <v>87</v>
      </c>
      <c r="K5" s="83"/>
      <c r="L5" s="84"/>
      <c r="M5" s="85">
        <v>8</v>
      </c>
      <c r="N5" s="75">
        <f>N12*20%</f>
        <v>1600000</v>
      </c>
    </row>
    <row r="6" spans="1:14" s="81" customFormat="1" ht="18" customHeight="1">
      <c r="A6" s="378" t="s">
        <v>14</v>
      </c>
      <c r="B6" s="247">
        <v>12.3</v>
      </c>
      <c r="C6" s="72">
        <v>66</v>
      </c>
      <c r="D6" s="92">
        <v>31</v>
      </c>
      <c r="E6" s="74"/>
      <c r="F6" s="12">
        <v>3</v>
      </c>
      <c r="G6" s="12">
        <v>6</v>
      </c>
      <c r="H6" s="75">
        <f t="shared" si="0"/>
        <v>1250000</v>
      </c>
      <c r="I6" s="76">
        <f t="shared" si="1"/>
        <v>50000</v>
      </c>
      <c r="J6" s="82" t="s">
        <v>88</v>
      </c>
      <c r="K6" s="83"/>
      <c r="L6" s="84"/>
      <c r="M6" s="85">
        <v>6</v>
      </c>
      <c r="N6" s="75">
        <f>N12*15%</f>
        <v>1200000</v>
      </c>
    </row>
    <row r="7" spans="1:18" s="81" customFormat="1" ht="18" customHeight="1">
      <c r="A7" s="378" t="s">
        <v>166</v>
      </c>
      <c r="B7" s="247">
        <v>15.4</v>
      </c>
      <c r="C7" s="73">
        <v>67</v>
      </c>
      <c r="D7" s="92">
        <v>31</v>
      </c>
      <c r="E7" s="74"/>
      <c r="F7" s="72">
        <v>4</v>
      </c>
      <c r="G7" s="72">
        <v>5</v>
      </c>
      <c r="H7" s="75">
        <f t="shared" si="0"/>
        <v>1010000</v>
      </c>
      <c r="I7" s="76">
        <f t="shared" si="1"/>
        <v>50000</v>
      </c>
      <c r="J7" s="82" t="s">
        <v>89</v>
      </c>
      <c r="K7" s="83"/>
      <c r="L7" s="84"/>
      <c r="M7" s="85">
        <v>5</v>
      </c>
      <c r="N7" s="75">
        <f>N12*12%</f>
        <v>960000</v>
      </c>
      <c r="O7" s="86"/>
      <c r="P7" s="86"/>
      <c r="Q7" s="86"/>
      <c r="R7" s="87"/>
    </row>
    <row r="8" spans="1:14" s="81" customFormat="1" ht="18" customHeight="1">
      <c r="A8" s="378" t="s">
        <v>12</v>
      </c>
      <c r="B8" s="247">
        <v>16.7</v>
      </c>
      <c r="C8" s="72">
        <v>67</v>
      </c>
      <c r="D8" s="73">
        <v>28</v>
      </c>
      <c r="E8" s="74">
        <v>3.47</v>
      </c>
      <c r="F8" s="72">
        <v>5</v>
      </c>
      <c r="G8" s="72">
        <v>4</v>
      </c>
      <c r="H8" s="75">
        <f t="shared" si="0"/>
        <v>1330000</v>
      </c>
      <c r="I8" s="76">
        <f t="shared" si="1"/>
        <v>530000</v>
      </c>
      <c r="J8" s="82" t="s">
        <v>90</v>
      </c>
      <c r="K8" s="83"/>
      <c r="L8" s="84"/>
      <c r="M8" s="85">
        <v>4</v>
      </c>
      <c r="N8" s="75">
        <f>N12*10%</f>
        <v>800000</v>
      </c>
    </row>
    <row r="9" spans="1:14" s="81" customFormat="1" ht="18" customHeight="1">
      <c r="A9" s="378" t="s">
        <v>36</v>
      </c>
      <c r="B9" s="247">
        <v>18.3</v>
      </c>
      <c r="C9" s="73">
        <v>68</v>
      </c>
      <c r="D9" s="73">
        <v>33</v>
      </c>
      <c r="E9" s="88"/>
      <c r="F9" s="89">
        <v>6</v>
      </c>
      <c r="G9" s="89">
        <v>3</v>
      </c>
      <c r="H9" s="75">
        <f t="shared" si="0"/>
        <v>690000</v>
      </c>
      <c r="I9" s="76">
        <f t="shared" si="1"/>
        <v>50000</v>
      </c>
      <c r="J9" s="82" t="s">
        <v>91</v>
      </c>
      <c r="K9" s="83"/>
      <c r="L9" s="84"/>
      <c r="M9" s="85">
        <v>3</v>
      </c>
      <c r="N9" s="75">
        <f>N12*8%</f>
        <v>640000</v>
      </c>
    </row>
    <row r="10" spans="1:14" s="81" customFormat="1" ht="18" customHeight="1">
      <c r="A10" s="378" t="s">
        <v>18</v>
      </c>
      <c r="B10" s="247">
        <v>13.9</v>
      </c>
      <c r="C10" s="73">
        <v>69</v>
      </c>
      <c r="D10" s="73">
        <v>34</v>
      </c>
      <c r="E10" s="74"/>
      <c r="F10" s="72">
        <v>7</v>
      </c>
      <c r="G10" s="72">
        <v>2</v>
      </c>
      <c r="H10" s="75">
        <f t="shared" si="0"/>
        <v>530000</v>
      </c>
      <c r="I10" s="76">
        <f t="shared" si="1"/>
        <v>50000</v>
      </c>
      <c r="J10" s="82" t="s">
        <v>92</v>
      </c>
      <c r="K10" s="83"/>
      <c r="L10" s="84"/>
      <c r="M10" s="85">
        <v>2</v>
      </c>
      <c r="N10" s="75">
        <f>N12*6%</f>
        <v>480000</v>
      </c>
    </row>
    <row r="11" spans="1:14" s="81" customFormat="1" ht="18" customHeight="1">
      <c r="A11" s="378" t="s">
        <v>38</v>
      </c>
      <c r="B11" s="247">
        <v>14</v>
      </c>
      <c r="C11" s="72">
        <v>70</v>
      </c>
      <c r="D11" s="73">
        <v>27</v>
      </c>
      <c r="E11" s="88"/>
      <c r="F11" s="72">
        <v>8</v>
      </c>
      <c r="G11" s="72">
        <v>1</v>
      </c>
      <c r="H11" s="75">
        <f t="shared" si="0"/>
        <v>370000</v>
      </c>
      <c r="I11" s="76">
        <f t="shared" si="1"/>
        <v>50000</v>
      </c>
      <c r="J11" s="82" t="s">
        <v>93</v>
      </c>
      <c r="K11" s="83"/>
      <c r="L11" s="84"/>
      <c r="M11" s="85">
        <v>1</v>
      </c>
      <c r="N11" s="75">
        <f>N12*4%</f>
        <v>320000</v>
      </c>
    </row>
    <row r="12" spans="1:14" s="81" customFormat="1" ht="18" customHeight="1">
      <c r="A12" s="378" t="s">
        <v>42</v>
      </c>
      <c r="B12" s="247">
        <v>19.2</v>
      </c>
      <c r="C12" s="92">
        <v>70</v>
      </c>
      <c r="D12" s="73">
        <v>30</v>
      </c>
      <c r="E12" s="88"/>
      <c r="F12" s="72"/>
      <c r="G12" s="72"/>
      <c r="H12" s="75">
        <f aca="true" t="shared" si="2" ref="H12:H28">I12</f>
        <v>50000</v>
      </c>
      <c r="I12" s="76">
        <f aca="true" t="shared" si="3" ref="I12:I28">IF(E12&gt;0,$N$13,0)+IF(C12&gt;0,50000,0)+IF(C12&lt;0,50000,0)</f>
        <v>50000</v>
      </c>
      <c r="J12" s="90" t="s">
        <v>94</v>
      </c>
      <c r="K12" s="83"/>
      <c r="L12" s="84"/>
      <c r="M12" s="85"/>
      <c r="N12" s="91">
        <v>8000000</v>
      </c>
    </row>
    <row r="13" spans="1:14" s="81" customFormat="1" ht="18" customHeight="1">
      <c r="A13" s="378" t="s">
        <v>8</v>
      </c>
      <c r="B13" s="247">
        <v>20.5</v>
      </c>
      <c r="C13" s="72">
        <v>70</v>
      </c>
      <c r="D13" s="73">
        <v>31</v>
      </c>
      <c r="E13" s="74"/>
      <c r="F13" s="72"/>
      <c r="G13" s="72"/>
      <c r="H13" s="75">
        <f t="shared" si="2"/>
        <v>50000</v>
      </c>
      <c r="I13" s="76">
        <f t="shared" si="3"/>
        <v>50000</v>
      </c>
      <c r="J13" s="93" t="s">
        <v>95</v>
      </c>
      <c r="K13" s="94"/>
      <c r="L13" s="95"/>
      <c r="M13" s="96">
        <v>1</v>
      </c>
      <c r="N13" s="97">
        <f>N10</f>
        <v>480000</v>
      </c>
    </row>
    <row r="14" spans="1:14" s="81" customFormat="1" ht="18" customHeight="1">
      <c r="A14" s="378" t="s">
        <v>22</v>
      </c>
      <c r="B14" s="247">
        <v>12.1</v>
      </c>
      <c r="C14" s="73">
        <v>71</v>
      </c>
      <c r="D14" s="92">
        <v>33</v>
      </c>
      <c r="E14" s="74"/>
      <c r="F14" s="72"/>
      <c r="G14" s="72"/>
      <c r="H14" s="75">
        <f t="shared" si="2"/>
        <v>50000</v>
      </c>
      <c r="I14" s="76">
        <f t="shared" si="3"/>
        <v>50000</v>
      </c>
      <c r="J14" s="98"/>
      <c r="K14" s="94"/>
      <c r="L14" s="94"/>
      <c r="M14" s="99"/>
      <c r="N14" s="100"/>
    </row>
    <row r="15" spans="1:14" s="81" customFormat="1" ht="18" customHeight="1">
      <c r="A15" s="378" t="s">
        <v>34</v>
      </c>
      <c r="B15" s="247">
        <v>15.1</v>
      </c>
      <c r="C15" s="72">
        <v>73</v>
      </c>
      <c r="D15" s="73">
        <v>34</v>
      </c>
      <c r="E15" s="74"/>
      <c r="F15" s="72"/>
      <c r="G15" s="72"/>
      <c r="H15" s="75">
        <f t="shared" si="2"/>
        <v>50000</v>
      </c>
      <c r="I15" s="76">
        <f t="shared" si="3"/>
        <v>50000</v>
      </c>
      <c r="J15" s="101"/>
      <c r="K15" s="102"/>
      <c r="L15" s="102"/>
      <c r="M15" s="103"/>
      <c r="N15" s="104"/>
    </row>
    <row r="16" spans="1:9" s="81" customFormat="1" ht="18" customHeight="1">
      <c r="A16" s="378" t="s">
        <v>40</v>
      </c>
      <c r="B16" s="247">
        <v>21.6</v>
      </c>
      <c r="C16" s="72">
        <v>73</v>
      </c>
      <c r="D16" s="73">
        <v>33</v>
      </c>
      <c r="E16" s="88"/>
      <c r="F16" s="12"/>
      <c r="G16" s="12"/>
      <c r="H16" s="75">
        <f t="shared" si="2"/>
        <v>50000</v>
      </c>
      <c r="I16" s="76">
        <f t="shared" si="3"/>
        <v>50000</v>
      </c>
    </row>
    <row r="17" spans="1:18" s="81" customFormat="1" ht="18" customHeight="1">
      <c r="A17" s="378" t="s">
        <v>10</v>
      </c>
      <c r="B17" s="247">
        <v>13.3</v>
      </c>
      <c r="C17" s="72">
        <v>76</v>
      </c>
      <c r="D17" s="73">
        <v>32</v>
      </c>
      <c r="E17" s="74"/>
      <c r="F17" s="12"/>
      <c r="G17" s="12"/>
      <c r="H17" s="75">
        <f t="shared" si="2"/>
        <v>50000</v>
      </c>
      <c r="I17" s="76">
        <f t="shared" si="3"/>
        <v>50000</v>
      </c>
      <c r="O17" s="86"/>
      <c r="P17" s="86"/>
      <c r="Q17" s="86"/>
      <c r="R17" s="87"/>
    </row>
    <row r="18" spans="1:13" s="81" customFormat="1" ht="18" customHeight="1">
      <c r="A18" s="378" t="s">
        <v>26</v>
      </c>
      <c r="B18" s="247">
        <v>22.7</v>
      </c>
      <c r="C18" s="12">
        <v>76</v>
      </c>
      <c r="D18" s="73">
        <v>34</v>
      </c>
      <c r="E18" s="74"/>
      <c r="F18" s="72"/>
      <c r="G18" s="72"/>
      <c r="H18" s="75">
        <f t="shared" si="2"/>
        <v>50000</v>
      </c>
      <c r="I18" s="76">
        <f t="shared" si="3"/>
        <v>50000</v>
      </c>
      <c r="J18" s="87"/>
      <c r="K18" s="87"/>
      <c r="L18" s="87"/>
      <c r="M18" s="87"/>
    </row>
    <row r="19" spans="1:13" s="81" customFormat="1" ht="18" customHeight="1">
      <c r="A19" s="378" t="s">
        <v>30</v>
      </c>
      <c r="B19" s="247">
        <v>9.4</v>
      </c>
      <c r="C19" s="73">
        <v>77</v>
      </c>
      <c r="D19" s="73">
        <v>31</v>
      </c>
      <c r="E19" s="74"/>
      <c r="F19" s="72"/>
      <c r="G19" s="72"/>
      <c r="H19" s="75">
        <f t="shared" si="2"/>
        <v>50000</v>
      </c>
      <c r="I19" s="76">
        <f t="shared" si="3"/>
        <v>50000</v>
      </c>
      <c r="J19" s="87"/>
      <c r="K19" s="87"/>
      <c r="L19" s="87"/>
      <c r="M19" s="87"/>
    </row>
    <row r="20" spans="1:9" s="57" customFormat="1" ht="18" customHeight="1">
      <c r="A20" s="378" t="s">
        <v>28</v>
      </c>
      <c r="B20" s="247">
        <v>11.9</v>
      </c>
      <c r="C20" s="12">
        <v>77</v>
      </c>
      <c r="D20" s="73">
        <v>27</v>
      </c>
      <c r="E20" s="88"/>
      <c r="F20" s="12"/>
      <c r="G20" s="12"/>
      <c r="H20" s="75">
        <f t="shared" si="2"/>
        <v>50000</v>
      </c>
      <c r="I20" s="76">
        <f t="shared" si="3"/>
        <v>50000</v>
      </c>
    </row>
    <row r="21" spans="1:9" s="57" customFormat="1" ht="18" customHeight="1">
      <c r="A21" s="378" t="s">
        <v>16</v>
      </c>
      <c r="B21" s="247">
        <v>19.2</v>
      </c>
      <c r="C21" s="72">
        <v>77</v>
      </c>
      <c r="D21" s="92">
        <v>30</v>
      </c>
      <c r="E21" s="74"/>
      <c r="F21" s="12"/>
      <c r="G21" s="12"/>
      <c r="H21" s="75">
        <f t="shared" si="2"/>
        <v>50000</v>
      </c>
      <c r="I21" s="76">
        <f t="shared" si="3"/>
        <v>50000</v>
      </c>
    </row>
    <row r="22" spans="1:9" s="57" customFormat="1" ht="18" customHeight="1">
      <c r="A22" s="378" t="s">
        <v>24</v>
      </c>
      <c r="B22" s="247">
        <v>13.4</v>
      </c>
      <c r="C22" s="72">
        <v>78</v>
      </c>
      <c r="D22" s="92">
        <v>33</v>
      </c>
      <c r="E22" s="74"/>
      <c r="F22" s="12"/>
      <c r="G22" s="12"/>
      <c r="H22" s="75">
        <f t="shared" si="2"/>
        <v>50000</v>
      </c>
      <c r="I22" s="76">
        <f t="shared" si="3"/>
        <v>50000</v>
      </c>
    </row>
    <row r="23" spans="1:9" s="57" customFormat="1" ht="18" customHeight="1">
      <c r="A23" s="378" t="s">
        <v>32</v>
      </c>
      <c r="B23" s="247">
        <v>14.2</v>
      </c>
      <c r="C23" s="72">
        <v>79</v>
      </c>
      <c r="D23" s="92">
        <v>32</v>
      </c>
      <c r="E23" s="88"/>
      <c r="F23" s="12"/>
      <c r="G23" s="12"/>
      <c r="H23" s="75">
        <f t="shared" si="2"/>
        <v>50000</v>
      </c>
      <c r="I23" s="76">
        <f t="shared" si="3"/>
        <v>50000</v>
      </c>
    </row>
    <row r="24" spans="1:9" s="57" customFormat="1" ht="18" customHeight="1">
      <c r="A24" s="378"/>
      <c r="B24" s="247"/>
      <c r="C24" s="72"/>
      <c r="D24" s="73"/>
      <c r="E24" s="74"/>
      <c r="F24" s="12"/>
      <c r="G24" s="12"/>
      <c r="H24" s="75">
        <f t="shared" si="2"/>
        <v>0</v>
      </c>
      <c r="I24" s="76">
        <f t="shared" si="3"/>
        <v>0</v>
      </c>
    </row>
    <row r="25" spans="1:9" s="57" customFormat="1" ht="18" customHeight="1">
      <c r="A25" s="378"/>
      <c r="B25" s="247"/>
      <c r="C25" s="73"/>
      <c r="D25" s="73"/>
      <c r="E25" s="74"/>
      <c r="F25" s="12"/>
      <c r="G25" s="12"/>
      <c r="H25" s="75">
        <f>I25</f>
        <v>0</v>
      </c>
      <c r="I25" s="76">
        <f>IF(E25&gt;0,$N$13,0)+IF(C25&gt;0,50000,0)+IF(C25&lt;0,50000,0)</f>
        <v>0</v>
      </c>
    </row>
    <row r="26" spans="1:9" s="57" customFormat="1" ht="18" customHeight="1">
      <c r="A26" s="378"/>
      <c r="B26" s="247"/>
      <c r="C26" s="72"/>
      <c r="D26" s="92"/>
      <c r="E26" s="74"/>
      <c r="F26" s="12"/>
      <c r="G26" s="12"/>
      <c r="H26" s="75">
        <f t="shared" si="2"/>
        <v>0</v>
      </c>
      <c r="I26" s="76">
        <f t="shared" si="3"/>
        <v>0</v>
      </c>
    </row>
    <row r="27" spans="1:9" s="57" customFormat="1" ht="18" customHeight="1">
      <c r="A27" s="378"/>
      <c r="B27" s="247"/>
      <c r="C27" s="72"/>
      <c r="D27" s="73"/>
      <c r="E27" s="74"/>
      <c r="F27" s="72"/>
      <c r="G27" s="72"/>
      <c r="H27" s="75">
        <f t="shared" si="2"/>
        <v>0</v>
      </c>
      <c r="I27" s="76">
        <f t="shared" si="3"/>
        <v>0</v>
      </c>
    </row>
    <row r="28" spans="1:9" s="57" customFormat="1" ht="18" customHeight="1">
      <c r="A28" s="378"/>
      <c r="B28" s="247"/>
      <c r="C28" s="72"/>
      <c r="D28" s="73"/>
      <c r="E28" s="74"/>
      <c r="F28" s="72"/>
      <c r="G28" s="72"/>
      <c r="H28" s="75">
        <f t="shared" si="2"/>
        <v>0</v>
      </c>
      <c r="I28" s="76">
        <f t="shared" si="3"/>
        <v>0</v>
      </c>
    </row>
    <row r="29" spans="1:9" ht="24" customHeight="1">
      <c r="A29" s="1"/>
      <c r="B29" s="3"/>
      <c r="C29" s="106"/>
      <c r="D29" s="107">
        <f>SUM(D4:D28)</f>
        <v>625</v>
      </c>
      <c r="E29" s="106"/>
      <c r="F29" s="3"/>
      <c r="G29" s="108">
        <f>SUM(G4:G28)</f>
        <v>39</v>
      </c>
      <c r="H29" s="108">
        <f>SUM(H4:H28)</f>
        <v>9480000</v>
      </c>
      <c r="I29" s="109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9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zoomScalePageLayoutView="0" workbookViewId="0" topLeftCell="A1">
      <selection activeCell="A1" sqref="A1:N28"/>
    </sheetView>
  </sheetViews>
  <sheetFormatPr defaultColWidth="9.140625" defaultRowHeight="12.75"/>
  <cols>
    <col min="1" max="1" width="25.140625" style="54" customWidth="1"/>
    <col min="2" max="2" width="7.8515625" style="55" customWidth="1"/>
    <col min="3" max="3" width="8.421875" style="56" customWidth="1"/>
    <col min="4" max="4" width="6.8515625" style="55" customWidth="1"/>
    <col min="5" max="5" width="8.140625" style="55" customWidth="1"/>
    <col min="6" max="6" width="10.140625" style="55" customWidth="1"/>
    <col min="7" max="7" width="9.140625" style="55" customWidth="1"/>
    <col min="8" max="8" width="13.421875" style="55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57" customFormat="1" ht="43.5" customHeight="1">
      <c r="B1" s="435" t="s">
        <v>256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</row>
    <row r="2" spans="2:14" s="57" customFormat="1" ht="29.25" customHeight="1">
      <c r="B2" s="444" t="s">
        <v>257</v>
      </c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</row>
    <row r="3" spans="1:14" s="70" customFormat="1" ht="27" customHeight="1">
      <c r="A3" s="59" t="s">
        <v>77</v>
      </c>
      <c r="B3" s="60" t="s">
        <v>78</v>
      </c>
      <c r="C3" s="60" t="s">
        <v>83</v>
      </c>
      <c r="D3" s="60" t="s">
        <v>80</v>
      </c>
      <c r="E3" s="60" t="s">
        <v>81</v>
      </c>
      <c r="F3" s="61" t="s">
        <v>82</v>
      </c>
      <c r="G3" s="62" t="s">
        <v>83</v>
      </c>
      <c r="H3" s="63" t="s">
        <v>84</v>
      </c>
      <c r="I3" s="64"/>
      <c r="J3" s="65" t="s">
        <v>82</v>
      </c>
      <c r="K3" s="66"/>
      <c r="L3" s="67"/>
      <c r="M3" s="68" t="s">
        <v>83</v>
      </c>
      <c r="N3" s="69" t="s">
        <v>85</v>
      </c>
    </row>
    <row r="4" spans="1:14" s="81" customFormat="1" ht="18" customHeight="1">
      <c r="A4" s="378" t="s">
        <v>42</v>
      </c>
      <c r="B4" s="247">
        <v>20.4</v>
      </c>
      <c r="C4" s="12">
        <v>39</v>
      </c>
      <c r="D4" s="73">
        <v>35</v>
      </c>
      <c r="E4" s="74">
        <v>12.46</v>
      </c>
      <c r="F4" s="72">
        <v>1</v>
      </c>
      <c r="G4" s="72">
        <v>10</v>
      </c>
      <c r="H4" s="75">
        <v>1650000</v>
      </c>
      <c r="I4" s="76">
        <f aca="true" t="shared" si="0" ref="I4:I11">IF(E4&gt;0,$N$13,0)+IF(C4&gt;0,50000,0)+IF(C12&lt;0,50000,0)</f>
        <v>410000</v>
      </c>
      <c r="J4" s="77" t="s">
        <v>86</v>
      </c>
      <c r="K4" s="78"/>
      <c r="L4" s="79"/>
      <c r="M4" s="80">
        <v>10</v>
      </c>
      <c r="N4" s="75">
        <f>N12*25%</f>
        <v>1500000</v>
      </c>
    </row>
    <row r="5" spans="1:14" s="81" customFormat="1" ht="18" customHeight="1">
      <c r="A5" s="378" t="s">
        <v>36</v>
      </c>
      <c r="B5" s="247">
        <v>19.1</v>
      </c>
      <c r="C5" s="72">
        <v>38</v>
      </c>
      <c r="D5" s="92">
        <v>35</v>
      </c>
      <c r="E5" s="88"/>
      <c r="F5" s="72">
        <v>2</v>
      </c>
      <c r="G5" s="72">
        <v>8</v>
      </c>
      <c r="H5" s="75">
        <f>I5+N5</f>
        <v>1250000</v>
      </c>
      <c r="I5" s="76">
        <f t="shared" si="0"/>
        <v>50000</v>
      </c>
      <c r="J5" s="82" t="s">
        <v>87</v>
      </c>
      <c r="K5" s="83"/>
      <c r="L5" s="84"/>
      <c r="M5" s="85">
        <v>8</v>
      </c>
      <c r="N5" s="75">
        <f>N12*20%</f>
        <v>1200000</v>
      </c>
    </row>
    <row r="6" spans="1:14" s="81" customFormat="1" ht="18" customHeight="1">
      <c r="A6" s="378" t="s">
        <v>34</v>
      </c>
      <c r="B6" s="247">
        <v>15.1</v>
      </c>
      <c r="C6" s="72">
        <v>34</v>
      </c>
      <c r="D6" s="73">
        <v>36</v>
      </c>
      <c r="E6" s="88"/>
      <c r="F6" s="12">
        <v>3</v>
      </c>
      <c r="G6" s="12">
        <v>6</v>
      </c>
      <c r="H6" s="75">
        <f aca="true" t="shared" si="1" ref="H6:H11">I6+N6</f>
        <v>950000</v>
      </c>
      <c r="I6" s="76">
        <f t="shared" si="0"/>
        <v>50000</v>
      </c>
      <c r="J6" s="82" t="s">
        <v>88</v>
      </c>
      <c r="K6" s="83"/>
      <c r="L6" s="84"/>
      <c r="M6" s="85">
        <v>6</v>
      </c>
      <c r="N6" s="75">
        <f>N12*15%</f>
        <v>900000</v>
      </c>
    </row>
    <row r="7" spans="1:18" s="81" customFormat="1" ht="18" customHeight="1">
      <c r="A7" s="378" t="s">
        <v>50</v>
      </c>
      <c r="B7" s="247">
        <v>24.7</v>
      </c>
      <c r="C7" s="72">
        <v>34</v>
      </c>
      <c r="D7" s="92">
        <v>39</v>
      </c>
      <c r="E7" s="74"/>
      <c r="F7" s="72">
        <v>4</v>
      </c>
      <c r="G7" s="72">
        <v>5</v>
      </c>
      <c r="H7" s="75">
        <f t="shared" si="1"/>
        <v>770000</v>
      </c>
      <c r="I7" s="76">
        <f t="shared" si="0"/>
        <v>50000</v>
      </c>
      <c r="J7" s="82" t="s">
        <v>89</v>
      </c>
      <c r="K7" s="83"/>
      <c r="L7" s="84"/>
      <c r="M7" s="85">
        <v>5</v>
      </c>
      <c r="N7" s="75">
        <f>N12*12%</f>
        <v>720000</v>
      </c>
      <c r="O7" s="86"/>
      <c r="P7" s="86"/>
      <c r="Q7" s="86"/>
      <c r="R7" s="87"/>
    </row>
    <row r="8" spans="1:14" s="81" customFormat="1" ht="18" customHeight="1">
      <c r="A8" s="378" t="s">
        <v>8</v>
      </c>
      <c r="B8" s="247">
        <v>20.5</v>
      </c>
      <c r="C8" s="72">
        <v>33</v>
      </c>
      <c r="D8" s="73">
        <v>37</v>
      </c>
      <c r="E8" s="74"/>
      <c r="F8" s="72">
        <v>5</v>
      </c>
      <c r="G8" s="72">
        <v>4</v>
      </c>
      <c r="H8" s="75">
        <f t="shared" si="1"/>
        <v>650000</v>
      </c>
      <c r="I8" s="76">
        <f t="shared" si="0"/>
        <v>50000</v>
      </c>
      <c r="J8" s="82" t="s">
        <v>90</v>
      </c>
      <c r="K8" s="83"/>
      <c r="L8" s="84"/>
      <c r="M8" s="85">
        <v>4</v>
      </c>
      <c r="N8" s="75">
        <f>N12*10%</f>
        <v>600000</v>
      </c>
    </row>
    <row r="9" spans="1:14" s="81" customFormat="1" ht="18" customHeight="1">
      <c r="A9" s="378" t="s">
        <v>40</v>
      </c>
      <c r="B9" s="247">
        <v>21.6</v>
      </c>
      <c r="C9" s="12">
        <v>33</v>
      </c>
      <c r="D9" s="92">
        <v>29</v>
      </c>
      <c r="E9" s="74"/>
      <c r="F9" s="89">
        <v>6</v>
      </c>
      <c r="G9" s="89">
        <v>3</v>
      </c>
      <c r="H9" s="75">
        <f t="shared" si="1"/>
        <v>530000</v>
      </c>
      <c r="I9" s="76">
        <f t="shared" si="0"/>
        <v>50000</v>
      </c>
      <c r="J9" s="82" t="s">
        <v>91</v>
      </c>
      <c r="K9" s="83"/>
      <c r="L9" s="84"/>
      <c r="M9" s="85">
        <v>3</v>
      </c>
      <c r="N9" s="75">
        <f>N12*8%</f>
        <v>480000</v>
      </c>
    </row>
    <row r="10" spans="1:14" s="81" customFormat="1" ht="18" customHeight="1">
      <c r="A10" s="378" t="s">
        <v>28</v>
      </c>
      <c r="B10" s="247">
        <v>11.8</v>
      </c>
      <c r="C10" s="73">
        <v>30</v>
      </c>
      <c r="D10" s="73">
        <v>36</v>
      </c>
      <c r="E10" s="74"/>
      <c r="F10" s="72">
        <v>7</v>
      </c>
      <c r="G10" s="72">
        <v>2</v>
      </c>
      <c r="H10" s="75">
        <f t="shared" si="1"/>
        <v>410000</v>
      </c>
      <c r="I10" s="76">
        <f t="shared" si="0"/>
        <v>50000</v>
      </c>
      <c r="J10" s="82" t="s">
        <v>92</v>
      </c>
      <c r="K10" s="83"/>
      <c r="L10" s="84"/>
      <c r="M10" s="85">
        <v>2</v>
      </c>
      <c r="N10" s="75">
        <f>N12*6%</f>
        <v>360000</v>
      </c>
    </row>
    <row r="11" spans="1:14" s="81" customFormat="1" ht="18" customHeight="1">
      <c r="A11" s="378" t="s">
        <v>22</v>
      </c>
      <c r="B11" s="247">
        <v>12</v>
      </c>
      <c r="C11" s="72">
        <v>30</v>
      </c>
      <c r="D11" s="73">
        <v>31</v>
      </c>
      <c r="E11" s="74"/>
      <c r="F11" s="72">
        <v>8</v>
      </c>
      <c r="G11" s="72">
        <v>1</v>
      </c>
      <c r="H11" s="75">
        <f t="shared" si="1"/>
        <v>290000</v>
      </c>
      <c r="I11" s="76">
        <f t="shared" si="0"/>
        <v>50000</v>
      </c>
      <c r="J11" s="82" t="s">
        <v>93</v>
      </c>
      <c r="K11" s="83"/>
      <c r="L11" s="84"/>
      <c r="M11" s="85">
        <v>1</v>
      </c>
      <c r="N11" s="75">
        <f>N12*4%</f>
        <v>240000</v>
      </c>
    </row>
    <row r="12" spans="1:14" s="81" customFormat="1" ht="18" customHeight="1">
      <c r="A12" s="378" t="s">
        <v>10</v>
      </c>
      <c r="B12" s="247">
        <v>13.1</v>
      </c>
      <c r="C12" s="72">
        <v>30</v>
      </c>
      <c r="D12" s="73">
        <v>34</v>
      </c>
      <c r="E12" s="74"/>
      <c r="F12" s="72"/>
      <c r="G12" s="72"/>
      <c r="H12" s="75">
        <f aca="true" t="shared" si="2" ref="H12:H28">I12</f>
        <v>50000</v>
      </c>
      <c r="I12" s="76">
        <f aca="true" t="shared" si="3" ref="I12:I28">IF(E12&gt;0,$N$13,0)+IF(C12&gt;0,50000,0)+IF(C12&lt;0,50000,0)</f>
        <v>50000</v>
      </c>
      <c r="J12" s="90" t="s">
        <v>94</v>
      </c>
      <c r="K12" s="83"/>
      <c r="L12" s="84"/>
      <c r="M12" s="85"/>
      <c r="N12" s="91">
        <v>6000000</v>
      </c>
    </row>
    <row r="13" spans="1:14" s="81" customFormat="1" ht="18" customHeight="1">
      <c r="A13" s="378" t="s">
        <v>12</v>
      </c>
      <c r="B13" s="247">
        <v>16.6</v>
      </c>
      <c r="C13" s="73">
        <v>30</v>
      </c>
      <c r="D13" s="92">
        <v>33</v>
      </c>
      <c r="E13" s="74"/>
      <c r="F13" s="72"/>
      <c r="G13" s="72"/>
      <c r="H13" s="75">
        <f t="shared" si="2"/>
        <v>50000</v>
      </c>
      <c r="I13" s="76">
        <f t="shared" si="3"/>
        <v>50000</v>
      </c>
      <c r="J13" s="93" t="s">
        <v>95</v>
      </c>
      <c r="K13" s="94"/>
      <c r="L13" s="95"/>
      <c r="M13" s="96"/>
      <c r="N13" s="97">
        <f>N10</f>
        <v>360000</v>
      </c>
    </row>
    <row r="14" spans="1:14" s="81" customFormat="1" ht="18" customHeight="1">
      <c r="A14" s="378" t="s">
        <v>30</v>
      </c>
      <c r="B14" s="247">
        <v>9.3</v>
      </c>
      <c r="C14" s="72">
        <v>28</v>
      </c>
      <c r="D14" s="73">
        <v>34</v>
      </c>
      <c r="E14" s="74" t="s">
        <v>163</v>
      </c>
      <c r="F14" s="72"/>
      <c r="G14" s="72"/>
      <c r="H14" s="75">
        <v>510000</v>
      </c>
      <c r="I14" s="76">
        <f t="shared" si="3"/>
        <v>410000</v>
      </c>
      <c r="J14" s="98"/>
      <c r="K14" s="94"/>
      <c r="L14" s="94"/>
      <c r="M14" s="99"/>
      <c r="N14" s="100"/>
    </row>
    <row r="15" spans="1:14" s="81" customFormat="1" ht="18" customHeight="1">
      <c r="A15" s="378" t="s">
        <v>18</v>
      </c>
      <c r="B15" s="247">
        <v>13.8</v>
      </c>
      <c r="C15" s="92">
        <v>28</v>
      </c>
      <c r="D15" s="73">
        <v>34</v>
      </c>
      <c r="E15" s="74"/>
      <c r="F15" s="72"/>
      <c r="G15" s="72"/>
      <c r="H15" s="75">
        <f t="shared" si="2"/>
        <v>50000</v>
      </c>
      <c r="I15" s="76">
        <f t="shared" si="3"/>
        <v>50000</v>
      </c>
      <c r="J15" s="101"/>
      <c r="K15" s="102"/>
      <c r="L15" s="102"/>
      <c r="M15" s="103"/>
      <c r="N15" s="104"/>
    </row>
    <row r="16" spans="1:9" s="81" customFormat="1" ht="18" customHeight="1">
      <c r="A16" s="378" t="s">
        <v>166</v>
      </c>
      <c r="B16" s="247">
        <v>15.3</v>
      </c>
      <c r="C16" s="72">
        <v>26</v>
      </c>
      <c r="D16" s="73">
        <v>38</v>
      </c>
      <c r="E16" s="74"/>
      <c r="F16" s="12"/>
      <c r="G16" s="12"/>
      <c r="H16" s="75">
        <f t="shared" si="2"/>
        <v>50000</v>
      </c>
      <c r="I16" s="76">
        <f t="shared" si="3"/>
        <v>50000</v>
      </c>
    </row>
    <row r="17" spans="1:18" s="81" customFormat="1" ht="18" customHeight="1">
      <c r="A17" s="378" t="s">
        <v>16</v>
      </c>
      <c r="B17" s="247">
        <v>19.1</v>
      </c>
      <c r="C17" s="72">
        <v>25</v>
      </c>
      <c r="D17" s="92">
        <v>38</v>
      </c>
      <c r="E17" s="74"/>
      <c r="F17" s="12"/>
      <c r="G17" s="12"/>
      <c r="H17" s="75">
        <f t="shared" si="2"/>
        <v>50000</v>
      </c>
      <c r="I17" s="76">
        <f t="shared" si="3"/>
        <v>50000</v>
      </c>
      <c r="O17" s="86"/>
      <c r="P17" s="86"/>
      <c r="Q17" s="86"/>
      <c r="R17" s="87"/>
    </row>
    <row r="18" spans="1:13" s="81" customFormat="1" ht="18" customHeight="1">
      <c r="A18" s="378" t="s">
        <v>46</v>
      </c>
      <c r="B18" s="247">
        <v>21.5</v>
      </c>
      <c r="C18" s="72">
        <v>22</v>
      </c>
      <c r="D18" s="92">
        <v>42</v>
      </c>
      <c r="E18" s="88"/>
      <c r="F18" s="72"/>
      <c r="G18" s="72"/>
      <c r="H18" s="75">
        <f t="shared" si="2"/>
        <v>50000</v>
      </c>
      <c r="I18" s="76">
        <f t="shared" si="3"/>
        <v>50000</v>
      </c>
      <c r="J18" s="87"/>
      <c r="K18" s="87"/>
      <c r="L18" s="87"/>
      <c r="M18" s="87"/>
    </row>
    <row r="19" spans="1:13" s="81" customFormat="1" ht="18" customHeight="1">
      <c r="A19" s="378" t="s">
        <v>26</v>
      </c>
      <c r="B19" s="247">
        <v>22.6</v>
      </c>
      <c r="C19" s="73">
        <v>15</v>
      </c>
      <c r="D19" s="73">
        <v>43</v>
      </c>
      <c r="E19" s="74"/>
      <c r="F19" s="72"/>
      <c r="G19" s="72"/>
      <c r="H19" s="75">
        <f t="shared" si="2"/>
        <v>50000</v>
      </c>
      <c r="I19" s="76">
        <f t="shared" si="3"/>
        <v>50000</v>
      </c>
      <c r="J19" s="87"/>
      <c r="K19" s="87"/>
      <c r="L19" s="87"/>
      <c r="M19" s="87"/>
    </row>
    <row r="20" spans="1:9" s="57" customFormat="1" ht="18" customHeight="1">
      <c r="A20" s="378"/>
      <c r="B20" s="247"/>
      <c r="C20" s="72"/>
      <c r="D20" s="73"/>
      <c r="E20" s="88"/>
      <c r="F20" s="12"/>
      <c r="G20" s="12"/>
      <c r="H20" s="75">
        <f t="shared" si="2"/>
        <v>0</v>
      </c>
      <c r="I20" s="76">
        <f t="shared" si="3"/>
        <v>0</v>
      </c>
    </row>
    <row r="21" spans="1:9" s="57" customFormat="1" ht="18" customHeight="1">
      <c r="A21" s="378"/>
      <c r="B21" s="247"/>
      <c r="C21" s="73"/>
      <c r="D21" s="73"/>
      <c r="E21" s="74"/>
      <c r="F21" s="12"/>
      <c r="G21" s="12"/>
      <c r="H21" s="75">
        <f t="shared" si="2"/>
        <v>0</v>
      </c>
      <c r="I21" s="76">
        <f t="shared" si="3"/>
        <v>0</v>
      </c>
    </row>
    <row r="22" spans="1:9" s="57" customFormat="1" ht="18" customHeight="1">
      <c r="A22" s="378"/>
      <c r="B22" s="247"/>
      <c r="C22" s="72"/>
      <c r="D22" s="92"/>
      <c r="E22" s="88"/>
      <c r="F22" s="12"/>
      <c r="G22" s="12"/>
      <c r="H22" s="75">
        <f t="shared" si="2"/>
        <v>0</v>
      </c>
      <c r="I22" s="76">
        <f t="shared" si="3"/>
        <v>0</v>
      </c>
    </row>
    <row r="23" spans="1:9" s="57" customFormat="1" ht="18" customHeight="1">
      <c r="A23" s="378"/>
      <c r="B23" s="247"/>
      <c r="C23" s="72"/>
      <c r="D23" s="73"/>
      <c r="E23" s="88"/>
      <c r="F23" s="12"/>
      <c r="G23" s="12"/>
      <c r="H23" s="75">
        <f t="shared" si="2"/>
        <v>0</v>
      </c>
      <c r="I23" s="76">
        <f t="shared" si="3"/>
        <v>0</v>
      </c>
    </row>
    <row r="24" spans="1:9" s="57" customFormat="1" ht="18" customHeight="1">
      <c r="A24" s="378"/>
      <c r="B24" s="247"/>
      <c r="C24" s="72"/>
      <c r="D24" s="73"/>
      <c r="E24" s="88"/>
      <c r="F24" s="12"/>
      <c r="G24" s="12"/>
      <c r="H24" s="75">
        <f>I24</f>
        <v>0</v>
      </c>
      <c r="I24" s="76">
        <f>IF(E24&gt;0,$N$13,0)+IF(C24&gt;0,50000,0)+IF(C24&lt;0,50000,0)</f>
        <v>0</v>
      </c>
    </row>
    <row r="25" spans="1:9" s="57" customFormat="1" ht="18" customHeight="1">
      <c r="A25" s="378"/>
      <c r="B25" s="247"/>
      <c r="C25" s="73"/>
      <c r="D25" s="92"/>
      <c r="E25" s="88"/>
      <c r="F25" s="12"/>
      <c r="G25" s="12"/>
      <c r="H25" s="75">
        <f t="shared" si="2"/>
        <v>0</v>
      </c>
      <c r="I25" s="76">
        <f t="shared" si="3"/>
        <v>0</v>
      </c>
    </row>
    <row r="26" spans="1:9" s="57" customFormat="1" ht="18" customHeight="1">
      <c r="A26" s="378"/>
      <c r="B26" s="247"/>
      <c r="C26" s="73"/>
      <c r="D26" s="73"/>
      <c r="E26" s="88"/>
      <c r="F26" s="12"/>
      <c r="G26" s="12"/>
      <c r="H26" s="75">
        <f t="shared" si="2"/>
        <v>0</v>
      </c>
      <c r="I26" s="76">
        <f t="shared" si="3"/>
        <v>0</v>
      </c>
    </row>
    <row r="27" spans="1:9" s="57" customFormat="1" ht="18" customHeight="1">
      <c r="A27" s="378"/>
      <c r="B27" s="247"/>
      <c r="C27" s="72"/>
      <c r="D27" s="73"/>
      <c r="E27" s="74"/>
      <c r="F27" s="72"/>
      <c r="G27" s="72"/>
      <c r="H27" s="75">
        <f t="shared" si="2"/>
        <v>0</v>
      </c>
      <c r="I27" s="76">
        <f t="shared" si="3"/>
        <v>0</v>
      </c>
    </row>
    <row r="28" spans="1:9" s="57" customFormat="1" ht="18" customHeight="1">
      <c r="A28" s="378"/>
      <c r="B28" s="247"/>
      <c r="C28" s="72"/>
      <c r="D28" s="73"/>
      <c r="E28" s="74"/>
      <c r="F28" s="72"/>
      <c r="G28" s="72"/>
      <c r="H28" s="75">
        <f t="shared" si="2"/>
        <v>0</v>
      </c>
      <c r="I28" s="76">
        <f t="shared" si="3"/>
        <v>0</v>
      </c>
    </row>
    <row r="29" spans="1:9" ht="24" customHeight="1">
      <c r="A29" s="1"/>
      <c r="B29" s="3"/>
      <c r="C29" s="106"/>
      <c r="D29" s="107">
        <f>SUM(D4:D28)</f>
        <v>574</v>
      </c>
      <c r="E29" s="106"/>
      <c r="F29" s="3"/>
      <c r="G29" s="108">
        <f>SUM(G4:G28)</f>
        <v>39</v>
      </c>
      <c r="H29" s="108">
        <f>SUM(H4:H28)</f>
        <v>7360000</v>
      </c>
      <c r="I29" s="109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B2" sqref="B2:C26"/>
    </sheetView>
  </sheetViews>
  <sheetFormatPr defaultColWidth="11.57421875" defaultRowHeight="12.75"/>
  <cols>
    <col min="1" max="1" width="10.8515625" style="3" customWidth="1"/>
    <col min="2" max="2" width="23.421875" style="1" bestFit="1" customWidth="1"/>
    <col min="3" max="3" width="11.421875" style="1" customWidth="1"/>
    <col min="4" max="4" width="14.140625" style="1" customWidth="1"/>
    <col min="5" max="16384" width="11.421875" style="1" customWidth="1"/>
  </cols>
  <sheetData>
    <row r="1" spans="1:4" ht="13.5">
      <c r="A1" s="245" t="s">
        <v>139</v>
      </c>
      <c r="B1" s="246" t="s">
        <v>6</v>
      </c>
      <c r="C1" s="246" t="s">
        <v>7</v>
      </c>
      <c r="D1" s="242"/>
    </row>
    <row r="2" spans="1:4" ht="13.5">
      <c r="A2" s="160">
        <v>4726</v>
      </c>
      <c r="B2" s="378" t="s">
        <v>8</v>
      </c>
      <c r="C2" s="247">
        <v>21</v>
      </c>
      <c r="D2" s="152" t="s">
        <v>9</v>
      </c>
    </row>
    <row r="3" spans="1:4" ht="13.5">
      <c r="A3" s="160">
        <v>4737</v>
      </c>
      <c r="B3" s="378" t="s">
        <v>10</v>
      </c>
      <c r="C3" s="247">
        <v>14.2</v>
      </c>
      <c r="D3" s="152" t="s">
        <v>11</v>
      </c>
    </row>
    <row r="4" spans="1:4" ht="13.5">
      <c r="A4" s="160">
        <v>1354</v>
      </c>
      <c r="B4" s="378" t="s">
        <v>12</v>
      </c>
      <c r="C4" s="247">
        <v>15.3</v>
      </c>
      <c r="D4" s="152" t="s">
        <v>13</v>
      </c>
    </row>
    <row r="5" spans="1:4" ht="13.5">
      <c r="A5" s="160">
        <v>2619</v>
      </c>
      <c r="B5" s="378" t="s">
        <v>14</v>
      </c>
      <c r="C5" s="247">
        <v>11.4</v>
      </c>
      <c r="D5" s="152" t="s">
        <v>15</v>
      </c>
    </row>
    <row r="6" spans="1:4" ht="13.5">
      <c r="A6" s="187">
        <v>3488</v>
      </c>
      <c r="B6" s="378" t="s">
        <v>16</v>
      </c>
      <c r="C6" s="247">
        <v>19.6</v>
      </c>
      <c r="D6" s="152" t="s">
        <v>17</v>
      </c>
    </row>
    <row r="7" spans="1:4" ht="13.5">
      <c r="A7" s="160">
        <v>3768</v>
      </c>
      <c r="B7" s="378" t="s">
        <v>18</v>
      </c>
      <c r="C7" s="247">
        <v>14.2</v>
      </c>
      <c r="D7" s="152" t="s">
        <v>19</v>
      </c>
    </row>
    <row r="8" spans="1:4" ht="13.5">
      <c r="A8" s="160">
        <v>4638</v>
      </c>
      <c r="B8" s="378" t="s">
        <v>20</v>
      </c>
      <c r="C8" s="247">
        <v>16.8</v>
      </c>
      <c r="D8" s="152" t="s">
        <v>21</v>
      </c>
    </row>
    <row r="9" spans="1:4" ht="13.5">
      <c r="A9" s="160">
        <v>3112</v>
      </c>
      <c r="B9" s="378" t="s">
        <v>22</v>
      </c>
      <c r="C9" s="247">
        <v>12.6</v>
      </c>
      <c r="D9" s="152" t="s">
        <v>23</v>
      </c>
    </row>
    <row r="10" spans="1:4" ht="13.5">
      <c r="A10" s="160">
        <v>3898</v>
      </c>
      <c r="B10" s="378" t="s">
        <v>24</v>
      </c>
      <c r="C10" s="247">
        <v>13.6</v>
      </c>
      <c r="D10" s="152" t="s">
        <v>25</v>
      </c>
    </row>
    <row r="11" spans="1:4" ht="13.5">
      <c r="A11" s="160">
        <v>3157</v>
      </c>
      <c r="B11" s="378" t="s">
        <v>26</v>
      </c>
      <c r="C11" s="247">
        <v>23.1</v>
      </c>
      <c r="D11" s="152" t="s">
        <v>27</v>
      </c>
    </row>
    <row r="12" spans="1:4" ht="13.5">
      <c r="A12" s="160">
        <v>4596</v>
      </c>
      <c r="B12" s="378" t="s">
        <v>28</v>
      </c>
      <c r="C12" s="247">
        <v>11.3</v>
      </c>
      <c r="D12" s="152" t="s">
        <v>29</v>
      </c>
    </row>
    <row r="13" spans="1:4" ht="13.5">
      <c r="A13" s="160">
        <v>4765</v>
      </c>
      <c r="B13" s="378" t="s">
        <v>30</v>
      </c>
      <c r="C13" s="247">
        <v>10.2</v>
      </c>
      <c r="D13" s="152" t="s">
        <v>31</v>
      </c>
    </row>
    <row r="14" spans="1:4" ht="13.5">
      <c r="A14" s="160">
        <v>2646</v>
      </c>
      <c r="B14" s="378" t="s">
        <v>32</v>
      </c>
      <c r="C14" s="247">
        <v>13.7</v>
      </c>
      <c r="D14" s="152" t="s">
        <v>33</v>
      </c>
    </row>
    <row r="15" spans="1:4" ht="13.5">
      <c r="A15" s="160">
        <v>2332</v>
      </c>
      <c r="B15" s="378" t="s">
        <v>34</v>
      </c>
      <c r="C15" s="247">
        <v>15.6</v>
      </c>
      <c r="D15" s="152" t="s">
        <v>35</v>
      </c>
    </row>
    <row r="16" spans="1:4" ht="13.5">
      <c r="A16" s="160">
        <v>4875</v>
      </c>
      <c r="B16" s="378" t="s">
        <v>36</v>
      </c>
      <c r="C16" s="247">
        <v>18.5</v>
      </c>
      <c r="D16" s="152" t="s">
        <v>37</v>
      </c>
    </row>
    <row r="17" spans="1:4" ht="13.5">
      <c r="A17" s="160">
        <v>3181</v>
      </c>
      <c r="B17" s="378" t="s">
        <v>38</v>
      </c>
      <c r="C17" s="247">
        <v>13.6</v>
      </c>
      <c r="D17" s="152" t="s">
        <v>39</v>
      </c>
    </row>
    <row r="18" spans="1:4" ht="13.5">
      <c r="A18" s="160">
        <v>5003</v>
      </c>
      <c r="B18" s="378" t="s">
        <v>166</v>
      </c>
      <c r="C18" s="247">
        <v>15.3</v>
      </c>
      <c r="D18" s="152" t="s">
        <v>200</v>
      </c>
    </row>
    <row r="19" spans="1:4" ht="13.5">
      <c r="A19" s="160">
        <v>4975</v>
      </c>
      <c r="B19" s="378" t="s">
        <v>40</v>
      </c>
      <c r="C19" s="247">
        <v>22.1</v>
      </c>
      <c r="D19" s="152" t="s">
        <v>41</v>
      </c>
    </row>
    <row r="20" spans="1:4" ht="13.5">
      <c r="A20" s="160">
        <v>4620</v>
      </c>
      <c r="B20" s="378" t="s">
        <v>42</v>
      </c>
      <c r="C20" s="247">
        <v>16.1</v>
      </c>
      <c r="D20" s="152" t="s">
        <v>43</v>
      </c>
    </row>
    <row r="21" spans="1:4" ht="13.5">
      <c r="A21" s="160">
        <v>3912</v>
      </c>
      <c r="B21" s="378" t="s">
        <v>44</v>
      </c>
      <c r="C21" s="247">
        <v>15.4</v>
      </c>
      <c r="D21" s="152" t="s">
        <v>45</v>
      </c>
    </row>
    <row r="22" spans="1:4" ht="13.5">
      <c r="A22" s="160">
        <v>3831</v>
      </c>
      <c r="B22" s="378" t="s">
        <v>46</v>
      </c>
      <c r="C22" s="247">
        <v>22.1</v>
      </c>
      <c r="D22" s="152" t="s">
        <v>47</v>
      </c>
    </row>
    <row r="23" spans="1:4" ht="13.5">
      <c r="A23" s="160">
        <v>2991</v>
      </c>
      <c r="B23" s="378" t="s">
        <v>48</v>
      </c>
      <c r="C23" s="247">
        <v>7.9</v>
      </c>
      <c r="D23" s="152" t="s">
        <v>49</v>
      </c>
    </row>
    <row r="24" spans="1:4" ht="13.5">
      <c r="A24" s="160">
        <v>3747</v>
      </c>
      <c r="B24" s="378" t="s">
        <v>148</v>
      </c>
      <c r="C24" s="247">
        <v>9.6</v>
      </c>
      <c r="D24" s="152" t="s">
        <v>149</v>
      </c>
    </row>
    <row r="25" spans="1:4" ht="13.5">
      <c r="A25" s="187">
        <v>2919</v>
      </c>
      <c r="B25" s="378" t="s">
        <v>50</v>
      </c>
      <c r="C25" s="247">
        <v>24.7</v>
      </c>
      <c r="D25" s="152" t="s">
        <v>51</v>
      </c>
    </row>
    <row r="26" spans="1:4" ht="13.5">
      <c r="A26" s="160">
        <v>4949</v>
      </c>
      <c r="B26" s="378" t="s">
        <v>52</v>
      </c>
      <c r="C26" s="247">
        <v>11.7</v>
      </c>
      <c r="D26" s="152" t="s">
        <v>53</v>
      </c>
    </row>
    <row r="27" spans="1:4" ht="13.5">
      <c r="A27" s="244"/>
      <c r="B27" s="243"/>
      <c r="C27" s="243"/>
      <c r="D27" s="243"/>
    </row>
    <row r="28" spans="1:4" s="188" customFormat="1" ht="13.5">
      <c r="A28" s="244"/>
      <c r="B28" s="243"/>
      <c r="C28" s="243"/>
      <c r="D28" s="243"/>
    </row>
    <row r="29" spans="1:4" ht="13.5">
      <c r="A29" s="244"/>
      <c r="B29" s="243"/>
      <c r="C29" s="243"/>
      <c r="D29" s="243"/>
    </row>
    <row r="30" spans="1:4" ht="13.5">
      <c r="A30" s="244"/>
      <c r="B30" s="243"/>
      <c r="C30" s="243"/>
      <c r="D30" s="243"/>
    </row>
    <row r="31" spans="1:4" ht="13.5">
      <c r="A31" s="244"/>
      <c r="B31" s="243"/>
      <c r="C31" s="243"/>
      <c r="D31" s="24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PageLayoutView="0" workbookViewId="0" topLeftCell="A1">
      <selection activeCell="A1" sqref="A1:N28"/>
    </sheetView>
  </sheetViews>
  <sheetFormatPr defaultColWidth="9.140625" defaultRowHeight="12.75"/>
  <cols>
    <col min="1" max="1" width="25.140625" style="54" customWidth="1"/>
    <col min="2" max="2" width="7.8515625" style="55" customWidth="1"/>
    <col min="3" max="3" width="8.421875" style="56" customWidth="1"/>
    <col min="4" max="4" width="6.8515625" style="55" customWidth="1"/>
    <col min="5" max="5" width="8.140625" style="55" customWidth="1"/>
    <col min="6" max="6" width="10.140625" style="55" customWidth="1"/>
    <col min="7" max="7" width="9.140625" style="55" customWidth="1"/>
    <col min="8" max="8" width="13.421875" style="55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57" customFormat="1" ht="43.5" customHeight="1">
      <c r="B1" s="435" t="s">
        <v>186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</row>
    <row r="2" spans="2:14" s="57" customFormat="1" ht="29.25" customHeight="1">
      <c r="B2" s="444" t="s">
        <v>255</v>
      </c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</row>
    <row r="3" spans="1:14" s="70" customFormat="1" ht="27" customHeight="1">
      <c r="A3" s="59" t="s">
        <v>77</v>
      </c>
      <c r="B3" s="60" t="s">
        <v>78</v>
      </c>
      <c r="C3" s="60" t="s">
        <v>79</v>
      </c>
      <c r="D3" s="60" t="s">
        <v>106</v>
      </c>
      <c r="E3" s="60" t="s">
        <v>81</v>
      </c>
      <c r="F3" s="61" t="s">
        <v>82</v>
      </c>
      <c r="G3" s="62" t="s">
        <v>83</v>
      </c>
      <c r="H3" s="63" t="s">
        <v>84</v>
      </c>
      <c r="I3" s="64"/>
      <c r="J3" s="65" t="s">
        <v>82</v>
      </c>
      <c r="K3" s="66"/>
      <c r="L3" s="67"/>
      <c r="M3" s="68" t="s">
        <v>83</v>
      </c>
      <c r="N3" s="69" t="s">
        <v>85</v>
      </c>
    </row>
    <row r="4" spans="1:14" s="81" customFormat="1" ht="18" customHeight="1">
      <c r="A4" s="378" t="s">
        <v>48</v>
      </c>
      <c r="B4" s="247">
        <v>8.3</v>
      </c>
      <c r="C4" s="73">
        <v>40</v>
      </c>
      <c r="D4" s="73">
        <v>34</v>
      </c>
      <c r="E4" s="74"/>
      <c r="F4" s="72">
        <v>1</v>
      </c>
      <c r="G4" s="72">
        <v>10</v>
      </c>
      <c r="H4" s="75">
        <f aca="true" t="shared" si="0" ref="H4:H11">N4+I4</f>
        <v>1550000</v>
      </c>
      <c r="I4" s="76">
        <f aca="true" t="shared" si="1" ref="I4:I11">IF(E4&gt;0,$N$13,0)+IF(C4&gt;0,50000,0)+IF(C12&lt;0,50000,0)</f>
        <v>50000</v>
      </c>
      <c r="J4" s="77" t="s">
        <v>86</v>
      </c>
      <c r="K4" s="78"/>
      <c r="L4" s="79"/>
      <c r="M4" s="80">
        <v>10</v>
      </c>
      <c r="N4" s="75">
        <f>N12*25%</f>
        <v>1500000</v>
      </c>
    </row>
    <row r="5" spans="1:14" s="81" customFormat="1" ht="18" customHeight="1">
      <c r="A5" s="378" t="s">
        <v>148</v>
      </c>
      <c r="B5" s="247">
        <v>10.6</v>
      </c>
      <c r="C5" s="12">
        <v>39</v>
      </c>
      <c r="D5" s="92">
        <v>29</v>
      </c>
      <c r="E5" s="74"/>
      <c r="F5" s="72">
        <v>2</v>
      </c>
      <c r="G5" s="72">
        <v>8</v>
      </c>
      <c r="H5" s="75">
        <f t="shared" si="0"/>
        <v>1250000</v>
      </c>
      <c r="I5" s="76">
        <f t="shared" si="1"/>
        <v>50000</v>
      </c>
      <c r="J5" s="82" t="s">
        <v>87</v>
      </c>
      <c r="K5" s="83"/>
      <c r="L5" s="84"/>
      <c r="M5" s="85">
        <v>8</v>
      </c>
      <c r="N5" s="75">
        <f>N12*20%</f>
        <v>1200000</v>
      </c>
    </row>
    <row r="6" spans="1:14" s="81" customFormat="1" ht="18" customHeight="1">
      <c r="A6" s="378" t="s">
        <v>36</v>
      </c>
      <c r="B6" s="247">
        <v>19.5</v>
      </c>
      <c r="C6" s="72">
        <v>37</v>
      </c>
      <c r="D6" s="92">
        <v>35</v>
      </c>
      <c r="E6" s="88"/>
      <c r="F6" s="12">
        <v>3</v>
      </c>
      <c r="G6" s="12">
        <v>6</v>
      </c>
      <c r="H6" s="75">
        <f t="shared" si="0"/>
        <v>950000</v>
      </c>
      <c r="I6" s="76">
        <f t="shared" si="1"/>
        <v>50000</v>
      </c>
      <c r="J6" s="82" t="s">
        <v>88</v>
      </c>
      <c r="K6" s="83"/>
      <c r="L6" s="84"/>
      <c r="M6" s="85">
        <v>6</v>
      </c>
      <c r="N6" s="75">
        <f>N12*15%</f>
        <v>900000</v>
      </c>
    </row>
    <row r="7" spans="1:16" s="81" customFormat="1" ht="18" customHeight="1">
      <c r="A7" s="378" t="s">
        <v>34</v>
      </c>
      <c r="B7" s="247">
        <v>15.1</v>
      </c>
      <c r="C7" s="72">
        <v>34</v>
      </c>
      <c r="D7" s="73">
        <v>34</v>
      </c>
      <c r="E7" s="88"/>
      <c r="F7" s="72">
        <v>4</v>
      </c>
      <c r="G7" s="72">
        <v>5</v>
      </c>
      <c r="H7" s="75">
        <f t="shared" si="0"/>
        <v>770000</v>
      </c>
      <c r="I7" s="76">
        <f t="shared" si="1"/>
        <v>50000</v>
      </c>
      <c r="J7" s="82" t="s">
        <v>89</v>
      </c>
      <c r="K7" s="83"/>
      <c r="L7" s="84"/>
      <c r="M7" s="85">
        <v>5</v>
      </c>
      <c r="N7" s="75">
        <f>N12*12%</f>
        <v>720000</v>
      </c>
      <c r="O7" s="86"/>
      <c r="P7" s="86"/>
    </row>
    <row r="8" spans="1:14" s="81" customFormat="1" ht="18" customHeight="1">
      <c r="A8" s="378" t="s">
        <v>10</v>
      </c>
      <c r="B8" s="247">
        <v>13.1</v>
      </c>
      <c r="C8" s="72">
        <v>33</v>
      </c>
      <c r="D8" s="73">
        <v>35</v>
      </c>
      <c r="E8" s="74"/>
      <c r="F8" s="72">
        <v>5</v>
      </c>
      <c r="G8" s="72">
        <v>4</v>
      </c>
      <c r="H8" s="75">
        <f t="shared" si="0"/>
        <v>650000</v>
      </c>
      <c r="I8" s="76">
        <f t="shared" si="1"/>
        <v>50000</v>
      </c>
      <c r="J8" s="82" t="s">
        <v>90</v>
      </c>
      <c r="K8" s="83"/>
      <c r="L8" s="84"/>
      <c r="M8" s="85">
        <v>4</v>
      </c>
      <c r="N8" s="75">
        <f>N12*10%</f>
        <v>600000</v>
      </c>
    </row>
    <row r="9" spans="1:14" s="81" customFormat="1" ht="18" customHeight="1">
      <c r="A9" s="378" t="s">
        <v>16</v>
      </c>
      <c r="B9" s="247">
        <v>19.1</v>
      </c>
      <c r="C9" s="73">
        <v>33</v>
      </c>
      <c r="D9" s="73">
        <v>37</v>
      </c>
      <c r="E9" s="74"/>
      <c r="F9" s="89">
        <v>6</v>
      </c>
      <c r="G9" s="89">
        <v>3</v>
      </c>
      <c r="H9" s="75">
        <f t="shared" si="0"/>
        <v>530000</v>
      </c>
      <c r="I9" s="76">
        <f t="shared" si="1"/>
        <v>50000</v>
      </c>
      <c r="J9" s="82" t="s">
        <v>91</v>
      </c>
      <c r="K9" s="83"/>
      <c r="L9" s="84"/>
      <c r="M9" s="85">
        <v>3</v>
      </c>
      <c r="N9" s="75">
        <f>N12*8%</f>
        <v>480000</v>
      </c>
    </row>
    <row r="10" spans="1:14" s="81" customFormat="1" ht="18" customHeight="1">
      <c r="A10" s="378" t="s">
        <v>28</v>
      </c>
      <c r="B10" s="247">
        <v>11.7</v>
      </c>
      <c r="C10" s="12">
        <v>32</v>
      </c>
      <c r="D10" s="73">
        <v>30</v>
      </c>
      <c r="E10" s="88">
        <v>3.1</v>
      </c>
      <c r="F10" s="72">
        <v>7</v>
      </c>
      <c r="G10" s="72">
        <v>2</v>
      </c>
      <c r="H10" s="75">
        <f t="shared" si="0"/>
        <v>770000</v>
      </c>
      <c r="I10" s="76">
        <f t="shared" si="1"/>
        <v>410000</v>
      </c>
      <c r="J10" s="82" t="s">
        <v>92</v>
      </c>
      <c r="K10" s="83"/>
      <c r="L10" s="84"/>
      <c r="M10" s="85">
        <v>2</v>
      </c>
      <c r="N10" s="75">
        <f>N12*6%</f>
        <v>360000</v>
      </c>
    </row>
    <row r="11" spans="1:14" s="81" customFormat="1" ht="18" customHeight="1">
      <c r="A11" s="378" t="s">
        <v>18</v>
      </c>
      <c r="B11" s="247">
        <v>13.7</v>
      </c>
      <c r="C11" s="72">
        <v>30</v>
      </c>
      <c r="D11" s="92">
        <v>29</v>
      </c>
      <c r="E11" s="88"/>
      <c r="F11" s="72">
        <v>8</v>
      </c>
      <c r="G11" s="72">
        <v>1</v>
      </c>
      <c r="H11" s="75">
        <f t="shared" si="0"/>
        <v>290000</v>
      </c>
      <c r="I11" s="76">
        <f t="shared" si="1"/>
        <v>50000</v>
      </c>
      <c r="J11" s="82" t="s">
        <v>93</v>
      </c>
      <c r="K11" s="83"/>
      <c r="L11" s="84"/>
      <c r="M11" s="85">
        <v>1</v>
      </c>
      <c r="N11" s="75">
        <f>N12*4%</f>
        <v>240000</v>
      </c>
    </row>
    <row r="12" spans="1:14" s="81" customFormat="1" ht="18" customHeight="1">
      <c r="A12" s="378" t="s">
        <v>14</v>
      </c>
      <c r="B12" s="247">
        <v>12.2</v>
      </c>
      <c r="C12" s="72">
        <v>28</v>
      </c>
      <c r="D12" s="92">
        <v>37</v>
      </c>
      <c r="E12" s="74"/>
      <c r="F12" s="72"/>
      <c r="G12" s="72"/>
      <c r="H12" s="75">
        <f aca="true" t="shared" si="2" ref="H12:H28">I12</f>
        <v>50000</v>
      </c>
      <c r="I12" s="76">
        <f aca="true" t="shared" si="3" ref="I12:I28">IF(E12&gt;0,$N$13,0)+IF(C12&gt;0,50000,0)+IF(C12&lt;0,50000,0)</f>
        <v>50000</v>
      </c>
      <c r="J12" s="90" t="s">
        <v>94</v>
      </c>
      <c r="K12" s="83"/>
      <c r="L12" s="84"/>
      <c r="M12" s="85"/>
      <c r="N12" s="91">
        <v>6000000</v>
      </c>
    </row>
    <row r="13" spans="1:14" s="81" customFormat="1" ht="18" customHeight="1">
      <c r="A13" s="378" t="s">
        <v>50</v>
      </c>
      <c r="B13" s="247">
        <v>24.6</v>
      </c>
      <c r="C13" s="72">
        <v>28</v>
      </c>
      <c r="D13" s="73">
        <v>38</v>
      </c>
      <c r="E13" s="88"/>
      <c r="F13" s="72"/>
      <c r="G13" s="72"/>
      <c r="H13" s="75">
        <f t="shared" si="2"/>
        <v>50000</v>
      </c>
      <c r="I13" s="76">
        <f t="shared" si="3"/>
        <v>50000</v>
      </c>
      <c r="J13" s="93" t="s">
        <v>95</v>
      </c>
      <c r="K13" s="94"/>
      <c r="L13" s="95"/>
      <c r="M13" s="96">
        <v>1</v>
      </c>
      <c r="N13" s="97">
        <f>N10</f>
        <v>360000</v>
      </c>
    </row>
    <row r="14" spans="1:14" s="81" customFormat="1" ht="18" customHeight="1">
      <c r="A14" s="378" t="s">
        <v>52</v>
      </c>
      <c r="B14" s="247">
        <v>12.7</v>
      </c>
      <c r="C14" s="72">
        <v>26</v>
      </c>
      <c r="D14" s="73">
        <v>36</v>
      </c>
      <c r="E14" s="88"/>
      <c r="F14" s="72"/>
      <c r="G14" s="72"/>
      <c r="H14" s="75">
        <f t="shared" si="2"/>
        <v>50000</v>
      </c>
      <c r="I14" s="76">
        <f t="shared" si="3"/>
        <v>50000</v>
      </c>
      <c r="J14" s="98"/>
      <c r="K14" s="94"/>
      <c r="L14" s="94"/>
      <c r="M14" s="99"/>
      <c r="N14" s="100"/>
    </row>
    <row r="15" spans="1:14" s="81" customFormat="1" ht="18" customHeight="1">
      <c r="A15" s="378" t="s">
        <v>30</v>
      </c>
      <c r="B15" s="247">
        <v>9.2</v>
      </c>
      <c r="C15" s="73">
        <v>25</v>
      </c>
      <c r="D15" s="73">
        <v>40</v>
      </c>
      <c r="E15" s="88"/>
      <c r="F15" s="72"/>
      <c r="G15" s="72"/>
      <c r="H15" s="75">
        <f t="shared" si="2"/>
        <v>50000</v>
      </c>
      <c r="I15" s="76">
        <f t="shared" si="3"/>
        <v>50000</v>
      </c>
      <c r="J15" s="101"/>
      <c r="K15" s="102"/>
      <c r="L15" s="102"/>
      <c r="M15" s="103"/>
      <c r="N15" s="104"/>
    </row>
    <row r="16" spans="1:9" s="81" customFormat="1" ht="18" customHeight="1">
      <c r="A16" s="378" t="s">
        <v>42</v>
      </c>
      <c r="B16" s="247">
        <v>20.3</v>
      </c>
      <c r="C16" s="72">
        <v>25</v>
      </c>
      <c r="D16" s="73">
        <v>42</v>
      </c>
      <c r="E16" s="74"/>
      <c r="F16" s="12"/>
      <c r="G16" s="12"/>
      <c r="H16" s="75">
        <f t="shared" si="2"/>
        <v>50000</v>
      </c>
      <c r="I16" s="76">
        <f t="shared" si="3"/>
        <v>50000</v>
      </c>
    </row>
    <row r="17" spans="1:9" s="81" customFormat="1" ht="18" customHeight="1">
      <c r="A17" s="378" t="s">
        <v>166</v>
      </c>
      <c r="B17" s="247">
        <v>15.1</v>
      </c>
      <c r="C17" s="72">
        <v>24</v>
      </c>
      <c r="D17" s="73">
        <v>40</v>
      </c>
      <c r="E17" s="74"/>
      <c r="F17" s="12"/>
      <c r="G17" s="12"/>
      <c r="H17" s="75">
        <f t="shared" si="2"/>
        <v>50000</v>
      </c>
      <c r="I17" s="76">
        <f t="shared" si="3"/>
        <v>50000</v>
      </c>
    </row>
    <row r="18" spans="1:12" s="81" customFormat="1" ht="18" customHeight="1">
      <c r="A18" s="378" t="s">
        <v>46</v>
      </c>
      <c r="B18" s="247">
        <v>21.4</v>
      </c>
      <c r="C18" s="72">
        <v>22</v>
      </c>
      <c r="D18" s="73">
        <v>38</v>
      </c>
      <c r="E18" s="74"/>
      <c r="F18" s="72"/>
      <c r="G18" s="72"/>
      <c r="H18" s="75">
        <f t="shared" si="2"/>
        <v>50000</v>
      </c>
      <c r="I18" s="76">
        <f t="shared" si="3"/>
        <v>50000</v>
      </c>
      <c r="J18" s="87"/>
      <c r="K18" s="87"/>
      <c r="L18" s="87"/>
    </row>
    <row r="19" spans="1:12" s="81" customFormat="1" ht="18" customHeight="1">
      <c r="A19" s="378" t="s">
        <v>40</v>
      </c>
      <c r="B19" s="247">
        <v>21.5</v>
      </c>
      <c r="C19" s="73">
        <v>19</v>
      </c>
      <c r="D19" s="73">
        <v>38</v>
      </c>
      <c r="E19" s="74"/>
      <c r="F19" s="72"/>
      <c r="G19" s="72"/>
      <c r="H19" s="75">
        <f t="shared" si="2"/>
        <v>50000</v>
      </c>
      <c r="I19" s="76">
        <f t="shared" si="3"/>
        <v>50000</v>
      </c>
      <c r="J19" s="87"/>
      <c r="K19" s="87"/>
      <c r="L19" s="87"/>
    </row>
    <row r="20" spans="1:9" s="57" customFormat="1" ht="18" customHeight="1">
      <c r="A20" s="378"/>
      <c r="B20" s="247"/>
      <c r="C20" s="72"/>
      <c r="D20" s="92"/>
      <c r="E20" s="74"/>
      <c r="F20" s="12"/>
      <c r="G20" s="12"/>
      <c r="H20" s="75">
        <f t="shared" si="2"/>
        <v>0</v>
      </c>
      <c r="I20" s="76">
        <f t="shared" si="3"/>
        <v>0</v>
      </c>
    </row>
    <row r="21" spans="1:9" s="57" customFormat="1" ht="18" customHeight="1">
      <c r="A21" s="378"/>
      <c r="B21" s="247"/>
      <c r="C21" s="73"/>
      <c r="D21" s="92"/>
      <c r="E21" s="74"/>
      <c r="F21" s="12"/>
      <c r="G21" s="12"/>
      <c r="H21" s="75">
        <f t="shared" si="2"/>
        <v>0</v>
      </c>
      <c r="I21" s="76">
        <f t="shared" si="3"/>
        <v>0</v>
      </c>
    </row>
    <row r="22" spans="1:9" s="57" customFormat="1" ht="18" customHeight="1">
      <c r="A22" s="378"/>
      <c r="B22" s="247"/>
      <c r="C22" s="72"/>
      <c r="D22" s="92"/>
      <c r="E22" s="74"/>
      <c r="F22" s="12"/>
      <c r="G22" s="12"/>
      <c r="H22" s="75">
        <f t="shared" si="2"/>
        <v>0</v>
      </c>
      <c r="I22" s="76">
        <f t="shared" si="3"/>
        <v>0</v>
      </c>
    </row>
    <row r="23" spans="1:9" s="57" customFormat="1" ht="18" customHeight="1">
      <c r="A23" s="378"/>
      <c r="B23" s="247"/>
      <c r="C23" s="72"/>
      <c r="D23" s="73"/>
      <c r="E23" s="74"/>
      <c r="F23" s="12"/>
      <c r="G23" s="12"/>
      <c r="H23" s="75">
        <f t="shared" si="2"/>
        <v>0</v>
      </c>
      <c r="I23" s="76">
        <f t="shared" si="3"/>
        <v>0</v>
      </c>
    </row>
    <row r="24" spans="1:9" s="57" customFormat="1" ht="18" customHeight="1">
      <c r="A24" s="378"/>
      <c r="B24" s="247"/>
      <c r="C24" s="72"/>
      <c r="D24" s="73"/>
      <c r="E24" s="88"/>
      <c r="F24" s="12"/>
      <c r="G24" s="12"/>
      <c r="H24" s="75">
        <f t="shared" si="2"/>
        <v>0</v>
      </c>
      <c r="I24" s="76">
        <f t="shared" si="3"/>
        <v>0</v>
      </c>
    </row>
    <row r="25" spans="1:9" s="57" customFormat="1" ht="18" customHeight="1">
      <c r="A25" s="378"/>
      <c r="B25" s="247"/>
      <c r="C25" s="72"/>
      <c r="D25" s="92"/>
      <c r="E25" s="74"/>
      <c r="F25" s="12"/>
      <c r="G25" s="12"/>
      <c r="H25" s="75">
        <f t="shared" si="2"/>
        <v>0</v>
      </c>
      <c r="I25" s="76">
        <f t="shared" si="3"/>
        <v>0</v>
      </c>
    </row>
    <row r="26" spans="1:9" s="57" customFormat="1" ht="18" customHeight="1">
      <c r="A26" s="378"/>
      <c r="B26" s="247"/>
      <c r="C26" s="72"/>
      <c r="D26" s="92"/>
      <c r="E26" s="74"/>
      <c r="F26" s="12"/>
      <c r="G26" s="12"/>
      <c r="H26" s="75">
        <f>I26</f>
        <v>0</v>
      </c>
      <c r="I26" s="76">
        <f>IF(E26&gt;0,$N$13,0)+IF(C26&gt;0,50000,0)+IF(C26&lt;0,50000,0)</f>
        <v>0</v>
      </c>
    </row>
    <row r="27" spans="1:9" s="57" customFormat="1" ht="18" customHeight="1">
      <c r="A27" s="378"/>
      <c r="B27" s="247"/>
      <c r="C27" s="92"/>
      <c r="D27" s="73"/>
      <c r="E27" s="74"/>
      <c r="F27" s="72"/>
      <c r="G27" s="72"/>
      <c r="H27" s="75">
        <f t="shared" si="2"/>
        <v>0</v>
      </c>
      <c r="I27" s="76">
        <f t="shared" si="3"/>
        <v>0</v>
      </c>
    </row>
    <row r="28" spans="1:9" s="57" customFormat="1" ht="18" customHeight="1">
      <c r="A28" s="152"/>
      <c r="B28" s="247"/>
      <c r="C28" s="73"/>
      <c r="D28" s="73"/>
      <c r="E28" s="74"/>
      <c r="F28" s="72"/>
      <c r="G28" s="72"/>
      <c r="H28" s="75">
        <f t="shared" si="2"/>
        <v>0</v>
      </c>
      <c r="I28" s="76">
        <f t="shared" si="3"/>
        <v>0</v>
      </c>
    </row>
    <row r="29" spans="1:9" ht="24" customHeight="1" thickBot="1">
      <c r="A29" s="1"/>
      <c r="B29" s="3"/>
      <c r="C29" s="106"/>
      <c r="D29" s="107">
        <f>SUM(D4:D28)</f>
        <v>572</v>
      </c>
      <c r="E29" s="106"/>
      <c r="F29" s="3"/>
      <c r="G29" s="108">
        <f>SUM(G4:G28)</f>
        <v>39</v>
      </c>
      <c r="H29" s="108">
        <f>SUM(H4:H28)</f>
        <v>7160000</v>
      </c>
      <c r="I29" s="109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9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zoomScalePageLayoutView="0" workbookViewId="0" topLeftCell="A1">
      <selection activeCell="A1" sqref="A1:N28"/>
    </sheetView>
  </sheetViews>
  <sheetFormatPr defaultColWidth="9.140625" defaultRowHeight="12.75"/>
  <cols>
    <col min="1" max="1" width="25.140625" style="54" customWidth="1"/>
    <col min="2" max="2" width="7.8515625" style="55" customWidth="1"/>
    <col min="3" max="3" width="8.421875" style="56" customWidth="1"/>
    <col min="4" max="4" width="6.8515625" style="55" customWidth="1"/>
    <col min="5" max="5" width="8.140625" style="55" customWidth="1"/>
    <col min="6" max="6" width="10.140625" style="55" customWidth="1"/>
    <col min="7" max="7" width="9.140625" style="55" customWidth="1"/>
    <col min="8" max="8" width="13.421875" style="55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57" customFormat="1" ht="43.5" customHeight="1">
      <c r="B1" s="435" t="s">
        <v>253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</row>
    <row r="2" spans="2:14" s="57" customFormat="1" ht="29.25" customHeight="1">
      <c r="B2" s="444" t="s">
        <v>249</v>
      </c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</row>
    <row r="3" spans="1:14" s="70" customFormat="1" ht="27" customHeight="1">
      <c r="A3" s="59" t="s">
        <v>77</v>
      </c>
      <c r="B3" s="60" t="s">
        <v>78</v>
      </c>
      <c r="C3" s="60" t="s">
        <v>105</v>
      </c>
      <c r="D3" s="60" t="s">
        <v>80</v>
      </c>
      <c r="E3" s="60" t="s">
        <v>81</v>
      </c>
      <c r="F3" s="61" t="s">
        <v>82</v>
      </c>
      <c r="G3" s="62" t="s">
        <v>83</v>
      </c>
      <c r="H3" s="63" t="s">
        <v>84</v>
      </c>
      <c r="I3" s="64"/>
      <c r="J3" s="65" t="s">
        <v>82</v>
      </c>
      <c r="K3" s="66"/>
      <c r="L3" s="67"/>
      <c r="M3" s="68" t="s">
        <v>83</v>
      </c>
      <c r="N3" s="69" t="s">
        <v>85</v>
      </c>
    </row>
    <row r="4" spans="1:14" s="81" customFormat="1" ht="18" customHeight="1">
      <c r="A4" s="378" t="s">
        <v>18</v>
      </c>
      <c r="B4" s="247">
        <v>14.8</v>
      </c>
      <c r="C4" s="72">
        <v>65</v>
      </c>
      <c r="D4" s="73">
        <v>30</v>
      </c>
      <c r="E4" s="74"/>
      <c r="F4" s="72">
        <v>1</v>
      </c>
      <c r="G4" s="72">
        <v>10</v>
      </c>
      <c r="H4" s="75">
        <f aca="true" t="shared" si="0" ref="H4:H11">N4+I4</f>
        <v>2050000</v>
      </c>
      <c r="I4" s="76">
        <f aca="true" t="shared" si="1" ref="I4:I11">IF(E4&gt;0,$N$13,0)+IF(C4&gt;0,50000,0)+IF(C12&lt;0,50000,0)</f>
        <v>50000</v>
      </c>
      <c r="J4" s="77" t="s">
        <v>86</v>
      </c>
      <c r="K4" s="78"/>
      <c r="L4" s="79"/>
      <c r="M4" s="80">
        <v>10</v>
      </c>
      <c r="N4" s="75">
        <f>N12*25%</f>
        <v>2000000</v>
      </c>
    </row>
    <row r="5" spans="1:14" s="81" customFormat="1" ht="18" customHeight="1">
      <c r="A5" s="378" t="s">
        <v>30</v>
      </c>
      <c r="B5" s="247">
        <v>9.1</v>
      </c>
      <c r="C5" s="73">
        <v>69</v>
      </c>
      <c r="D5" s="73">
        <v>33</v>
      </c>
      <c r="E5" s="74"/>
      <c r="F5" s="72">
        <v>2</v>
      </c>
      <c r="G5" s="72">
        <v>8</v>
      </c>
      <c r="H5" s="75">
        <f t="shared" si="0"/>
        <v>1650000</v>
      </c>
      <c r="I5" s="76">
        <f t="shared" si="1"/>
        <v>50000</v>
      </c>
      <c r="J5" s="82" t="s">
        <v>87</v>
      </c>
      <c r="K5" s="83"/>
      <c r="L5" s="84"/>
      <c r="M5" s="85">
        <v>8</v>
      </c>
      <c r="N5" s="75">
        <f>N12*20%</f>
        <v>1600000</v>
      </c>
    </row>
    <row r="6" spans="1:14" s="81" customFormat="1" ht="18" customHeight="1">
      <c r="A6" s="378" t="s">
        <v>28</v>
      </c>
      <c r="B6" s="247">
        <v>12</v>
      </c>
      <c r="C6" s="72">
        <v>69</v>
      </c>
      <c r="D6" s="73">
        <v>33</v>
      </c>
      <c r="E6" s="74"/>
      <c r="F6" s="12">
        <v>3</v>
      </c>
      <c r="G6" s="12">
        <v>6</v>
      </c>
      <c r="H6" s="75">
        <f t="shared" si="0"/>
        <v>1250000</v>
      </c>
      <c r="I6" s="76">
        <f t="shared" si="1"/>
        <v>50000</v>
      </c>
      <c r="J6" s="82" t="s">
        <v>88</v>
      </c>
      <c r="K6" s="83"/>
      <c r="L6" s="84"/>
      <c r="M6" s="85">
        <v>6</v>
      </c>
      <c r="N6" s="75">
        <f>N12*15%</f>
        <v>1200000</v>
      </c>
    </row>
    <row r="7" spans="1:18" s="81" customFormat="1" ht="18" customHeight="1">
      <c r="A7" s="378" t="s">
        <v>48</v>
      </c>
      <c r="B7" s="247">
        <v>8.2</v>
      </c>
      <c r="C7" s="72">
        <v>70</v>
      </c>
      <c r="D7" s="92">
        <v>26</v>
      </c>
      <c r="E7" s="74"/>
      <c r="F7" s="72">
        <v>4</v>
      </c>
      <c r="G7" s="72">
        <v>5</v>
      </c>
      <c r="H7" s="75">
        <f t="shared" si="0"/>
        <v>1010000</v>
      </c>
      <c r="I7" s="76">
        <f t="shared" si="1"/>
        <v>50000</v>
      </c>
      <c r="J7" s="82" t="s">
        <v>89</v>
      </c>
      <c r="K7" s="83"/>
      <c r="L7" s="84"/>
      <c r="M7" s="85">
        <v>5</v>
      </c>
      <c r="N7" s="75">
        <f>N12*12%</f>
        <v>960000</v>
      </c>
      <c r="O7" s="86"/>
      <c r="P7" s="86"/>
      <c r="Q7" s="86"/>
      <c r="R7" s="87"/>
    </row>
    <row r="8" spans="1:14" s="81" customFormat="1" ht="18" customHeight="1">
      <c r="A8" s="378" t="s">
        <v>8</v>
      </c>
      <c r="B8" s="247">
        <v>20.4</v>
      </c>
      <c r="C8" s="72">
        <v>70</v>
      </c>
      <c r="D8" s="73">
        <v>31</v>
      </c>
      <c r="E8" s="74"/>
      <c r="F8" s="72">
        <v>5</v>
      </c>
      <c r="G8" s="72">
        <v>4</v>
      </c>
      <c r="H8" s="75">
        <f t="shared" si="0"/>
        <v>850000</v>
      </c>
      <c r="I8" s="76">
        <f t="shared" si="1"/>
        <v>50000</v>
      </c>
      <c r="J8" s="82" t="s">
        <v>90</v>
      </c>
      <c r="K8" s="83"/>
      <c r="L8" s="84"/>
      <c r="M8" s="85">
        <v>4</v>
      </c>
      <c r="N8" s="75">
        <f>N12*10%</f>
        <v>800000</v>
      </c>
    </row>
    <row r="9" spans="1:14" s="81" customFormat="1" ht="18" customHeight="1">
      <c r="A9" s="378" t="s">
        <v>24</v>
      </c>
      <c r="B9" s="247">
        <v>13.3</v>
      </c>
      <c r="C9" s="72">
        <v>71</v>
      </c>
      <c r="D9" s="73">
        <v>35</v>
      </c>
      <c r="E9" s="74"/>
      <c r="F9" s="89">
        <v>6</v>
      </c>
      <c r="G9" s="89">
        <v>3</v>
      </c>
      <c r="H9" s="75">
        <f t="shared" si="0"/>
        <v>690000</v>
      </c>
      <c r="I9" s="76">
        <f t="shared" si="1"/>
        <v>50000</v>
      </c>
      <c r="J9" s="82" t="s">
        <v>91</v>
      </c>
      <c r="K9" s="83"/>
      <c r="L9" s="84"/>
      <c r="M9" s="85">
        <v>3</v>
      </c>
      <c r="N9" s="75">
        <f>N12*8%</f>
        <v>640000</v>
      </c>
    </row>
    <row r="10" spans="1:14" s="81" customFormat="1" ht="18" customHeight="1">
      <c r="A10" s="378" t="s">
        <v>16</v>
      </c>
      <c r="B10" s="247">
        <v>18.8</v>
      </c>
      <c r="C10" s="73">
        <v>71</v>
      </c>
      <c r="D10" s="92">
        <v>35</v>
      </c>
      <c r="E10" s="74"/>
      <c r="F10" s="72">
        <v>7</v>
      </c>
      <c r="G10" s="72">
        <v>2</v>
      </c>
      <c r="H10" s="75">
        <f t="shared" si="0"/>
        <v>530000</v>
      </c>
      <c r="I10" s="76">
        <f t="shared" si="1"/>
        <v>50000</v>
      </c>
      <c r="J10" s="82" t="s">
        <v>92</v>
      </c>
      <c r="K10" s="83"/>
      <c r="L10" s="84"/>
      <c r="M10" s="85">
        <v>2</v>
      </c>
      <c r="N10" s="75">
        <f>N12*6%</f>
        <v>480000</v>
      </c>
    </row>
    <row r="11" spans="1:14" s="81" customFormat="1" ht="18" customHeight="1">
      <c r="A11" s="378" t="s">
        <v>38</v>
      </c>
      <c r="B11" s="247">
        <v>13.9</v>
      </c>
      <c r="C11" s="92">
        <v>74</v>
      </c>
      <c r="D11" s="73">
        <v>27</v>
      </c>
      <c r="E11" s="88"/>
      <c r="F11" s="72">
        <v>8</v>
      </c>
      <c r="G11" s="72">
        <v>1</v>
      </c>
      <c r="H11" s="75">
        <f t="shared" si="0"/>
        <v>370000</v>
      </c>
      <c r="I11" s="76">
        <f t="shared" si="1"/>
        <v>50000</v>
      </c>
      <c r="J11" s="82" t="s">
        <v>93</v>
      </c>
      <c r="K11" s="83"/>
      <c r="L11" s="84"/>
      <c r="M11" s="85">
        <v>1</v>
      </c>
      <c r="N11" s="75">
        <f>N12*4%</f>
        <v>320000</v>
      </c>
    </row>
    <row r="12" spans="1:14" s="81" customFormat="1" ht="18" customHeight="1">
      <c r="A12" s="378" t="s">
        <v>42</v>
      </c>
      <c r="B12" s="247">
        <v>20.3</v>
      </c>
      <c r="C12" s="12">
        <v>75</v>
      </c>
      <c r="D12" s="73">
        <v>40</v>
      </c>
      <c r="E12" s="74"/>
      <c r="F12" s="72"/>
      <c r="G12" s="72"/>
      <c r="H12" s="75">
        <f aca="true" t="shared" si="2" ref="H12:H28">I12</f>
        <v>50000</v>
      </c>
      <c r="I12" s="76">
        <f aca="true" t="shared" si="3" ref="I12:I28">IF(E12&gt;0,$N$13,0)+IF(C12&gt;0,50000,0)+IF(C12&lt;0,50000,0)</f>
        <v>50000</v>
      </c>
      <c r="J12" s="90" t="s">
        <v>94</v>
      </c>
      <c r="K12" s="83"/>
      <c r="L12" s="84"/>
      <c r="M12" s="85"/>
      <c r="N12" s="91">
        <v>8000000</v>
      </c>
    </row>
    <row r="13" spans="1:14" s="81" customFormat="1" ht="18" customHeight="1">
      <c r="A13" s="378" t="s">
        <v>166</v>
      </c>
      <c r="B13" s="247">
        <v>15</v>
      </c>
      <c r="C13" s="72">
        <v>76</v>
      </c>
      <c r="D13" s="73">
        <v>31</v>
      </c>
      <c r="E13" s="88"/>
      <c r="F13" s="72"/>
      <c r="G13" s="72"/>
      <c r="H13" s="75">
        <f t="shared" si="2"/>
        <v>50000</v>
      </c>
      <c r="I13" s="76">
        <f t="shared" si="3"/>
        <v>50000</v>
      </c>
      <c r="J13" s="93" t="s">
        <v>95</v>
      </c>
      <c r="K13" s="94"/>
      <c r="L13" s="95"/>
      <c r="M13" s="96">
        <v>1</v>
      </c>
      <c r="N13" s="97">
        <f>N10</f>
        <v>480000</v>
      </c>
    </row>
    <row r="14" spans="1:14" s="81" customFormat="1" ht="18" customHeight="1">
      <c r="A14" s="378" t="s">
        <v>36</v>
      </c>
      <c r="B14" s="247">
        <v>19.3</v>
      </c>
      <c r="C14" s="72">
        <v>76</v>
      </c>
      <c r="D14" s="73">
        <v>34</v>
      </c>
      <c r="E14" s="88"/>
      <c r="F14" s="72"/>
      <c r="G14" s="72"/>
      <c r="H14" s="75">
        <f t="shared" si="2"/>
        <v>50000</v>
      </c>
      <c r="I14" s="76">
        <f t="shared" si="3"/>
        <v>50000</v>
      </c>
      <c r="J14" s="98"/>
      <c r="K14" s="94"/>
      <c r="L14" s="94"/>
      <c r="M14" s="99"/>
      <c r="N14" s="100"/>
    </row>
    <row r="15" spans="1:14" s="81" customFormat="1" ht="18" customHeight="1">
      <c r="A15" s="378" t="s">
        <v>34</v>
      </c>
      <c r="B15" s="247">
        <v>14.9</v>
      </c>
      <c r="C15" s="72">
        <v>77</v>
      </c>
      <c r="D15" s="73">
        <v>39</v>
      </c>
      <c r="E15" s="88"/>
      <c r="F15" s="72"/>
      <c r="G15" s="72"/>
      <c r="H15" s="75">
        <f t="shared" si="2"/>
        <v>50000</v>
      </c>
      <c r="I15" s="76">
        <f t="shared" si="3"/>
        <v>50000</v>
      </c>
      <c r="J15" s="101"/>
      <c r="K15" s="102"/>
      <c r="L15" s="102"/>
      <c r="M15" s="103"/>
      <c r="N15" s="104"/>
    </row>
    <row r="16" spans="1:9" s="81" customFormat="1" ht="18" customHeight="1">
      <c r="A16" s="378" t="s">
        <v>50</v>
      </c>
      <c r="B16" s="247">
        <v>24.4</v>
      </c>
      <c r="C16" s="72">
        <v>77</v>
      </c>
      <c r="D16" s="73">
        <v>38</v>
      </c>
      <c r="E16" s="74"/>
      <c r="F16" s="12"/>
      <c r="G16" s="12"/>
      <c r="H16" s="75">
        <f t="shared" si="2"/>
        <v>50000</v>
      </c>
      <c r="I16" s="76">
        <f t="shared" si="3"/>
        <v>50000</v>
      </c>
    </row>
    <row r="17" spans="1:13" s="81" customFormat="1" ht="18" customHeight="1">
      <c r="A17" s="378" t="s">
        <v>26</v>
      </c>
      <c r="B17" s="247">
        <v>22.4</v>
      </c>
      <c r="C17" s="72">
        <v>83</v>
      </c>
      <c r="D17" s="73">
        <v>36</v>
      </c>
      <c r="E17" s="74"/>
      <c r="F17" s="12"/>
      <c r="G17" s="12"/>
      <c r="H17" s="75">
        <f t="shared" si="2"/>
        <v>50000</v>
      </c>
      <c r="I17" s="76">
        <f t="shared" si="3"/>
        <v>50000</v>
      </c>
      <c r="J17" s="86"/>
      <c r="K17" s="86"/>
      <c r="L17" s="86"/>
      <c r="M17" s="87"/>
    </row>
    <row r="18" spans="1:13" s="81" customFormat="1" ht="18" customHeight="1">
      <c r="A18" s="378" t="s">
        <v>46</v>
      </c>
      <c r="B18" s="247">
        <v>21.2</v>
      </c>
      <c r="C18" s="72">
        <v>85</v>
      </c>
      <c r="D18" s="92">
        <v>38</v>
      </c>
      <c r="E18" s="74"/>
      <c r="F18" s="72"/>
      <c r="G18" s="72"/>
      <c r="H18" s="75">
        <f t="shared" si="2"/>
        <v>50000</v>
      </c>
      <c r="I18" s="76">
        <f t="shared" si="3"/>
        <v>50000</v>
      </c>
      <c r="J18" s="87"/>
      <c r="K18" s="87"/>
      <c r="L18" s="87"/>
      <c r="M18" s="87"/>
    </row>
    <row r="19" spans="1:13" s="81" customFormat="1" ht="18" customHeight="1">
      <c r="A19" s="378"/>
      <c r="B19" s="247"/>
      <c r="C19" s="72"/>
      <c r="D19" s="92"/>
      <c r="E19" s="74"/>
      <c r="F19" s="72"/>
      <c r="G19" s="72"/>
      <c r="H19" s="75">
        <f t="shared" si="2"/>
        <v>0</v>
      </c>
      <c r="I19" s="76">
        <f t="shared" si="3"/>
        <v>0</v>
      </c>
      <c r="J19" s="87"/>
      <c r="K19" s="87"/>
      <c r="L19" s="87"/>
      <c r="M19" s="87"/>
    </row>
    <row r="20" spans="1:9" s="57" customFormat="1" ht="18" customHeight="1">
      <c r="A20" s="378"/>
      <c r="B20" s="247"/>
      <c r="C20" s="73"/>
      <c r="D20" s="73"/>
      <c r="E20" s="88"/>
      <c r="F20" s="12"/>
      <c r="G20" s="12"/>
      <c r="H20" s="75">
        <f t="shared" si="2"/>
        <v>0</v>
      </c>
      <c r="I20" s="76">
        <f t="shared" si="3"/>
        <v>0</v>
      </c>
    </row>
    <row r="21" spans="1:9" s="57" customFormat="1" ht="18" customHeight="1">
      <c r="A21" s="378"/>
      <c r="B21" s="247"/>
      <c r="C21" s="72"/>
      <c r="D21" s="73"/>
      <c r="E21" s="74"/>
      <c r="F21" s="12"/>
      <c r="G21" s="12"/>
      <c r="H21" s="75">
        <f t="shared" si="2"/>
        <v>0</v>
      </c>
      <c r="I21" s="76">
        <f t="shared" si="3"/>
        <v>0</v>
      </c>
    </row>
    <row r="22" spans="1:9" s="57" customFormat="1" ht="18" customHeight="1">
      <c r="A22" s="378"/>
      <c r="B22" s="247"/>
      <c r="C22" s="72"/>
      <c r="D22" s="73"/>
      <c r="E22" s="74"/>
      <c r="F22" s="12"/>
      <c r="G22" s="12"/>
      <c r="H22" s="75">
        <f t="shared" si="2"/>
        <v>0</v>
      </c>
      <c r="I22" s="76">
        <f t="shared" si="3"/>
        <v>0</v>
      </c>
    </row>
    <row r="23" spans="1:9" s="57" customFormat="1" ht="18" customHeight="1">
      <c r="A23" s="378"/>
      <c r="B23" s="247"/>
      <c r="C23" s="72"/>
      <c r="D23" s="92"/>
      <c r="E23" s="74"/>
      <c r="F23" s="12"/>
      <c r="G23" s="12"/>
      <c r="H23" s="75">
        <f t="shared" si="2"/>
        <v>0</v>
      </c>
      <c r="I23" s="76">
        <f t="shared" si="3"/>
        <v>0</v>
      </c>
    </row>
    <row r="24" spans="1:9" s="57" customFormat="1" ht="18" customHeight="1">
      <c r="A24" s="378"/>
      <c r="B24" s="247"/>
      <c r="C24" s="73"/>
      <c r="D24" s="92"/>
      <c r="E24" s="88"/>
      <c r="F24" s="12"/>
      <c r="G24" s="12"/>
      <c r="H24" s="75">
        <f t="shared" si="2"/>
        <v>0</v>
      </c>
      <c r="I24" s="76">
        <f t="shared" si="3"/>
        <v>0</v>
      </c>
    </row>
    <row r="25" spans="1:9" s="57" customFormat="1" ht="18" customHeight="1">
      <c r="A25" s="378"/>
      <c r="B25" s="247"/>
      <c r="C25" s="73"/>
      <c r="D25" s="92"/>
      <c r="E25" s="88"/>
      <c r="F25" s="12"/>
      <c r="G25" s="12"/>
      <c r="H25" s="75">
        <f t="shared" si="2"/>
        <v>0</v>
      </c>
      <c r="I25" s="76"/>
    </row>
    <row r="26" spans="1:9" s="57" customFormat="1" ht="18" customHeight="1">
      <c r="A26" s="378"/>
      <c r="B26" s="247"/>
      <c r="C26" s="73"/>
      <c r="D26" s="73"/>
      <c r="E26" s="88"/>
      <c r="F26" s="12"/>
      <c r="G26" s="12"/>
      <c r="H26" s="75">
        <f t="shared" si="2"/>
        <v>0</v>
      </c>
      <c r="I26" s="76">
        <f t="shared" si="3"/>
        <v>0</v>
      </c>
    </row>
    <row r="27" spans="1:9" s="57" customFormat="1" ht="18" customHeight="1">
      <c r="A27" s="378"/>
      <c r="B27" s="247"/>
      <c r="C27" s="12"/>
      <c r="D27" s="92"/>
      <c r="E27" s="88"/>
      <c r="F27" s="72"/>
      <c r="G27" s="72"/>
      <c r="H27" s="75">
        <f t="shared" si="2"/>
        <v>0</v>
      </c>
      <c r="I27" s="76">
        <f t="shared" si="3"/>
        <v>0</v>
      </c>
    </row>
    <row r="28" spans="1:9" s="57" customFormat="1" ht="18" customHeight="1">
      <c r="A28" s="378"/>
      <c r="B28" s="247"/>
      <c r="C28" s="73"/>
      <c r="D28" s="92"/>
      <c r="E28" s="74"/>
      <c r="F28" s="72"/>
      <c r="G28" s="72"/>
      <c r="H28" s="75">
        <f t="shared" si="2"/>
        <v>0</v>
      </c>
      <c r="I28" s="76">
        <f t="shared" si="3"/>
        <v>0</v>
      </c>
    </row>
    <row r="29" spans="1:9" ht="24" customHeight="1">
      <c r="A29" s="1"/>
      <c r="B29" s="3"/>
      <c r="C29" s="106"/>
      <c r="D29" s="107">
        <f>SUM(D4:D28)</f>
        <v>506</v>
      </c>
      <c r="E29" s="106"/>
      <c r="F29" s="3"/>
      <c r="G29" s="108">
        <f>SUM(G4:G28)</f>
        <v>39</v>
      </c>
      <c r="H29" s="108">
        <f>SUM(H4:H28)</f>
        <v>8750000</v>
      </c>
      <c r="I29" s="109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PageLayoutView="0" workbookViewId="0" topLeftCell="A1">
      <selection activeCell="A1" sqref="A1:N28"/>
    </sheetView>
  </sheetViews>
  <sheetFormatPr defaultColWidth="9.140625" defaultRowHeight="12.75"/>
  <cols>
    <col min="1" max="1" width="25.140625" style="54" customWidth="1"/>
    <col min="2" max="2" width="7.8515625" style="55" customWidth="1"/>
    <col min="3" max="3" width="8.421875" style="56" customWidth="1"/>
    <col min="4" max="4" width="6.8515625" style="55" customWidth="1"/>
    <col min="5" max="5" width="8.140625" style="55" customWidth="1"/>
    <col min="6" max="6" width="10.140625" style="55" customWidth="1"/>
    <col min="7" max="7" width="9.140625" style="55" customWidth="1"/>
    <col min="8" max="8" width="13.421875" style="55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57" customFormat="1" ht="43.5" customHeight="1">
      <c r="B1" s="435" t="s">
        <v>250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</row>
    <row r="2" spans="2:14" s="57" customFormat="1" ht="29.25" customHeight="1">
      <c r="B2" s="444" t="s">
        <v>251</v>
      </c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</row>
    <row r="3" spans="1:14" s="70" customFormat="1" ht="27" customHeight="1">
      <c r="A3" s="59" t="s">
        <v>77</v>
      </c>
      <c r="B3" s="60" t="s">
        <v>78</v>
      </c>
      <c r="C3" s="60" t="s">
        <v>79</v>
      </c>
      <c r="D3" s="60" t="s">
        <v>80</v>
      </c>
      <c r="E3" s="60" t="s">
        <v>81</v>
      </c>
      <c r="F3" s="61" t="s">
        <v>82</v>
      </c>
      <c r="G3" s="62" t="s">
        <v>83</v>
      </c>
      <c r="H3" s="63" t="s">
        <v>84</v>
      </c>
      <c r="I3" s="64"/>
      <c r="J3" s="65" t="s">
        <v>82</v>
      </c>
      <c r="K3" s="66"/>
      <c r="L3" s="67"/>
      <c r="M3" s="68" t="s">
        <v>83</v>
      </c>
      <c r="N3" s="69" t="s">
        <v>85</v>
      </c>
    </row>
    <row r="4" spans="1:14" s="81" customFormat="1" ht="18" customHeight="1">
      <c r="A4" s="378" t="s">
        <v>28</v>
      </c>
      <c r="B4" s="247">
        <v>12</v>
      </c>
      <c r="C4" s="72">
        <v>37</v>
      </c>
      <c r="D4" s="92">
        <v>30</v>
      </c>
      <c r="E4" s="88"/>
      <c r="F4" s="72">
        <v>1</v>
      </c>
      <c r="G4" s="72">
        <v>10</v>
      </c>
      <c r="H4" s="75">
        <f aca="true" t="shared" si="0" ref="H4:H11">N4+I4</f>
        <v>1550000</v>
      </c>
      <c r="I4" s="76">
        <f aca="true" t="shared" si="1" ref="I4:I11">IF(E4&gt;0,$N$13,0)+IF(C4&gt;0,50000,0)+IF(C12&lt;0,50000,0)</f>
        <v>50000</v>
      </c>
      <c r="J4" s="77" t="s">
        <v>86</v>
      </c>
      <c r="K4" s="78"/>
      <c r="L4" s="79"/>
      <c r="M4" s="80">
        <v>10</v>
      </c>
      <c r="N4" s="75">
        <f>N12*25%</f>
        <v>1500000</v>
      </c>
    </row>
    <row r="5" spans="1:14" s="81" customFormat="1" ht="18" customHeight="1">
      <c r="A5" s="378" t="s">
        <v>38</v>
      </c>
      <c r="B5" s="247">
        <v>13.9</v>
      </c>
      <c r="C5" s="72">
        <v>36</v>
      </c>
      <c r="D5" s="73">
        <v>31</v>
      </c>
      <c r="E5" s="88"/>
      <c r="F5" s="72">
        <v>2</v>
      </c>
      <c r="G5" s="72">
        <v>8</v>
      </c>
      <c r="H5" s="75">
        <f t="shared" si="0"/>
        <v>1250000</v>
      </c>
      <c r="I5" s="76">
        <f t="shared" si="1"/>
        <v>50000</v>
      </c>
      <c r="J5" s="82" t="s">
        <v>87</v>
      </c>
      <c r="K5" s="83"/>
      <c r="L5" s="84"/>
      <c r="M5" s="85">
        <v>8</v>
      </c>
      <c r="N5" s="75">
        <f>N12*20%</f>
        <v>1200000</v>
      </c>
    </row>
    <row r="6" spans="1:14" s="81" customFormat="1" ht="18" customHeight="1">
      <c r="A6" s="378" t="s">
        <v>42</v>
      </c>
      <c r="B6" s="247">
        <v>20.3</v>
      </c>
      <c r="C6" s="12">
        <v>36</v>
      </c>
      <c r="D6" s="73">
        <v>33</v>
      </c>
      <c r="E6" s="88">
        <v>3.76</v>
      </c>
      <c r="F6" s="12">
        <v>3</v>
      </c>
      <c r="G6" s="12">
        <v>6</v>
      </c>
      <c r="H6" s="75">
        <f t="shared" si="0"/>
        <v>1310000</v>
      </c>
      <c r="I6" s="76">
        <f t="shared" si="1"/>
        <v>410000</v>
      </c>
      <c r="J6" s="82" t="s">
        <v>88</v>
      </c>
      <c r="K6" s="83"/>
      <c r="L6" s="84"/>
      <c r="M6" s="85">
        <v>6</v>
      </c>
      <c r="N6" s="75">
        <f>N12*15%</f>
        <v>900000</v>
      </c>
    </row>
    <row r="7" spans="1:16" s="81" customFormat="1" ht="18" customHeight="1">
      <c r="A7" s="378" t="s">
        <v>48</v>
      </c>
      <c r="B7" s="247">
        <v>8.2</v>
      </c>
      <c r="C7" s="72">
        <v>34</v>
      </c>
      <c r="D7" s="73">
        <v>28</v>
      </c>
      <c r="E7" s="74"/>
      <c r="F7" s="72">
        <v>4</v>
      </c>
      <c r="G7" s="72">
        <v>5</v>
      </c>
      <c r="H7" s="75">
        <f t="shared" si="0"/>
        <v>770000</v>
      </c>
      <c r="I7" s="76">
        <f t="shared" si="1"/>
        <v>50000</v>
      </c>
      <c r="J7" s="82" t="s">
        <v>89</v>
      </c>
      <c r="K7" s="83"/>
      <c r="L7" s="84"/>
      <c r="M7" s="85">
        <v>5</v>
      </c>
      <c r="N7" s="75">
        <f>N12*12%</f>
        <v>720000</v>
      </c>
      <c r="O7" s="86"/>
      <c r="P7" s="86"/>
    </row>
    <row r="8" spans="1:14" s="81" customFormat="1" ht="18" customHeight="1">
      <c r="A8" s="378" t="s">
        <v>36</v>
      </c>
      <c r="B8" s="247">
        <v>19.3</v>
      </c>
      <c r="C8" s="73">
        <v>32</v>
      </c>
      <c r="D8" s="92">
        <v>35</v>
      </c>
      <c r="E8" s="74"/>
      <c r="F8" s="72">
        <v>5</v>
      </c>
      <c r="G8" s="72">
        <v>4</v>
      </c>
      <c r="H8" s="75">
        <f t="shared" si="0"/>
        <v>650000</v>
      </c>
      <c r="I8" s="76">
        <f t="shared" si="1"/>
        <v>50000</v>
      </c>
      <c r="J8" s="82" t="s">
        <v>90</v>
      </c>
      <c r="K8" s="83"/>
      <c r="L8" s="84"/>
      <c r="M8" s="85">
        <v>4</v>
      </c>
      <c r="N8" s="75">
        <f>N12*10%</f>
        <v>600000</v>
      </c>
    </row>
    <row r="9" spans="1:14" s="81" customFormat="1" ht="18" customHeight="1">
      <c r="A9" s="378" t="s">
        <v>52</v>
      </c>
      <c r="B9" s="247">
        <v>12.6</v>
      </c>
      <c r="C9" s="72">
        <v>31</v>
      </c>
      <c r="D9" s="73">
        <v>32</v>
      </c>
      <c r="E9" s="74"/>
      <c r="F9" s="89">
        <v>6</v>
      </c>
      <c r="G9" s="89">
        <v>3</v>
      </c>
      <c r="H9" s="75">
        <f t="shared" si="0"/>
        <v>530000</v>
      </c>
      <c r="I9" s="76">
        <f t="shared" si="1"/>
        <v>50000</v>
      </c>
      <c r="J9" s="82" t="s">
        <v>91</v>
      </c>
      <c r="K9" s="83"/>
      <c r="L9" s="84"/>
      <c r="M9" s="85">
        <v>3</v>
      </c>
      <c r="N9" s="75">
        <f>N12*8%</f>
        <v>480000</v>
      </c>
    </row>
    <row r="10" spans="1:14" s="81" customFormat="1" ht="18" customHeight="1">
      <c r="A10" s="378" t="s">
        <v>18</v>
      </c>
      <c r="B10" s="247">
        <v>14.8</v>
      </c>
      <c r="C10" s="72">
        <v>31</v>
      </c>
      <c r="D10" s="92">
        <v>33</v>
      </c>
      <c r="E10" s="74"/>
      <c r="F10" s="72">
        <v>7</v>
      </c>
      <c r="G10" s="72">
        <v>2</v>
      </c>
      <c r="H10" s="75">
        <f t="shared" si="0"/>
        <v>410000</v>
      </c>
      <c r="I10" s="76">
        <f t="shared" si="1"/>
        <v>50000</v>
      </c>
      <c r="J10" s="82" t="s">
        <v>92</v>
      </c>
      <c r="K10" s="83"/>
      <c r="L10" s="84"/>
      <c r="M10" s="85">
        <v>2</v>
      </c>
      <c r="N10" s="75">
        <f>N12*6%</f>
        <v>360000</v>
      </c>
    </row>
    <row r="11" spans="1:14" s="81" customFormat="1" ht="18" customHeight="1">
      <c r="A11" s="378" t="s">
        <v>46</v>
      </c>
      <c r="B11" s="247">
        <v>21.2</v>
      </c>
      <c r="C11" s="72">
        <v>30</v>
      </c>
      <c r="D11" s="73">
        <v>38</v>
      </c>
      <c r="E11" s="74"/>
      <c r="F11" s="72">
        <v>8</v>
      </c>
      <c r="G11" s="72">
        <v>1</v>
      </c>
      <c r="H11" s="75">
        <f t="shared" si="0"/>
        <v>290000</v>
      </c>
      <c r="I11" s="76">
        <f t="shared" si="1"/>
        <v>50000</v>
      </c>
      <c r="J11" s="82" t="s">
        <v>93</v>
      </c>
      <c r="K11" s="83"/>
      <c r="L11" s="84"/>
      <c r="M11" s="85">
        <v>1</v>
      </c>
      <c r="N11" s="75">
        <f>N12*4%</f>
        <v>240000</v>
      </c>
    </row>
    <row r="12" spans="1:14" s="81" customFormat="1" ht="18" customHeight="1">
      <c r="A12" s="378" t="s">
        <v>30</v>
      </c>
      <c r="B12" s="247">
        <v>9.1</v>
      </c>
      <c r="C12" s="72">
        <v>29</v>
      </c>
      <c r="D12" s="73">
        <v>31</v>
      </c>
      <c r="E12" s="74"/>
      <c r="F12" s="72"/>
      <c r="G12" s="72"/>
      <c r="H12" s="75">
        <f aca="true" t="shared" si="2" ref="H12:H28">I12</f>
        <v>50000</v>
      </c>
      <c r="I12" s="76">
        <f aca="true" t="shared" si="3" ref="I12:I28">IF(E12&gt;0,$N$13,0)+IF(C12&gt;0,50000,0)+IF(C12&lt;0,50000,0)</f>
        <v>50000</v>
      </c>
      <c r="J12" s="90" t="s">
        <v>94</v>
      </c>
      <c r="K12" s="83"/>
      <c r="L12" s="84"/>
      <c r="M12" s="85"/>
      <c r="N12" s="91">
        <v>6000000</v>
      </c>
    </row>
    <row r="13" spans="1:14" s="81" customFormat="1" ht="18" customHeight="1">
      <c r="A13" s="378" t="s">
        <v>166</v>
      </c>
      <c r="B13" s="247">
        <v>15</v>
      </c>
      <c r="C13" s="72">
        <v>29</v>
      </c>
      <c r="D13" s="73">
        <v>37</v>
      </c>
      <c r="E13" s="74"/>
      <c r="F13" s="72"/>
      <c r="G13" s="72"/>
      <c r="H13" s="75">
        <f t="shared" si="2"/>
        <v>50000</v>
      </c>
      <c r="I13" s="76">
        <f t="shared" si="3"/>
        <v>50000</v>
      </c>
      <c r="J13" s="93" t="s">
        <v>95</v>
      </c>
      <c r="K13" s="94"/>
      <c r="L13" s="95"/>
      <c r="M13" s="96">
        <v>1</v>
      </c>
      <c r="N13" s="97">
        <f>N10</f>
        <v>360000</v>
      </c>
    </row>
    <row r="14" spans="1:14" s="81" customFormat="1" ht="18" customHeight="1">
      <c r="A14" s="378" t="s">
        <v>8</v>
      </c>
      <c r="B14" s="247">
        <v>20.4</v>
      </c>
      <c r="C14" s="72">
        <v>29</v>
      </c>
      <c r="D14" s="92">
        <v>38</v>
      </c>
      <c r="E14" s="74"/>
      <c r="F14" s="72"/>
      <c r="G14" s="72"/>
      <c r="H14" s="75">
        <f t="shared" si="2"/>
        <v>50000</v>
      </c>
      <c r="I14" s="76">
        <f t="shared" si="3"/>
        <v>50000</v>
      </c>
      <c r="J14" s="98"/>
      <c r="K14" s="94"/>
      <c r="L14" s="94"/>
      <c r="M14" s="99"/>
      <c r="N14" s="100"/>
    </row>
    <row r="15" spans="1:14" s="81" customFormat="1" ht="18" customHeight="1">
      <c r="A15" s="378" t="s">
        <v>26</v>
      </c>
      <c r="B15" s="247">
        <v>22.4</v>
      </c>
      <c r="C15" s="72">
        <v>29</v>
      </c>
      <c r="D15" s="73">
        <v>39</v>
      </c>
      <c r="E15" s="74"/>
      <c r="F15" s="72"/>
      <c r="G15" s="72"/>
      <c r="H15" s="75">
        <f t="shared" si="2"/>
        <v>50000</v>
      </c>
      <c r="I15" s="76">
        <f t="shared" si="3"/>
        <v>50000</v>
      </c>
      <c r="J15" s="101"/>
      <c r="K15" s="102"/>
      <c r="L15" s="102"/>
      <c r="M15" s="103"/>
      <c r="N15" s="104"/>
    </row>
    <row r="16" spans="1:9" s="81" customFormat="1" ht="18" customHeight="1">
      <c r="A16" s="378" t="s">
        <v>50</v>
      </c>
      <c r="B16" s="247">
        <v>24.4</v>
      </c>
      <c r="C16" s="73">
        <v>29</v>
      </c>
      <c r="D16" s="73">
        <v>39</v>
      </c>
      <c r="E16" s="88"/>
      <c r="F16" s="12"/>
      <c r="G16" s="12"/>
      <c r="H16" s="75">
        <f t="shared" si="2"/>
        <v>50000</v>
      </c>
      <c r="I16" s="76">
        <f t="shared" si="3"/>
        <v>50000</v>
      </c>
    </row>
    <row r="17" spans="1:13" s="81" customFormat="1" ht="18" customHeight="1">
      <c r="A17" s="378" t="s">
        <v>14</v>
      </c>
      <c r="B17" s="247">
        <v>12.1</v>
      </c>
      <c r="C17" s="72">
        <v>26</v>
      </c>
      <c r="D17" s="92">
        <v>35</v>
      </c>
      <c r="E17" s="88"/>
      <c r="F17" s="12"/>
      <c r="G17" s="12"/>
      <c r="H17" s="75">
        <f t="shared" si="2"/>
        <v>50000</v>
      </c>
      <c r="I17" s="76">
        <f t="shared" si="3"/>
        <v>50000</v>
      </c>
      <c r="J17" s="86"/>
      <c r="K17" s="86"/>
      <c r="L17" s="86"/>
      <c r="M17" s="87"/>
    </row>
    <row r="18" spans="1:14" s="81" customFormat="1" ht="18" customHeight="1">
      <c r="A18" s="378" t="s">
        <v>34</v>
      </c>
      <c r="B18" s="247">
        <v>14.9</v>
      </c>
      <c r="C18" s="12">
        <v>24</v>
      </c>
      <c r="D18" s="92">
        <v>36</v>
      </c>
      <c r="E18" s="74"/>
      <c r="F18" s="72"/>
      <c r="G18" s="72"/>
      <c r="H18" s="75">
        <f t="shared" si="2"/>
        <v>50000</v>
      </c>
      <c r="I18" s="76">
        <f t="shared" si="3"/>
        <v>50000</v>
      </c>
      <c r="J18" s="103"/>
      <c r="K18" s="103"/>
      <c r="L18" s="103"/>
      <c r="M18" s="103"/>
      <c r="N18" s="103"/>
    </row>
    <row r="19" spans="1:14" s="81" customFormat="1" ht="18" customHeight="1">
      <c r="A19" s="378"/>
      <c r="B19" s="247"/>
      <c r="C19" s="72"/>
      <c r="D19" s="73"/>
      <c r="E19" s="88"/>
      <c r="F19" s="72"/>
      <c r="G19" s="72"/>
      <c r="H19" s="75">
        <f t="shared" si="2"/>
        <v>0</v>
      </c>
      <c r="I19" s="76">
        <f t="shared" si="3"/>
        <v>0</v>
      </c>
      <c r="J19" s="103"/>
      <c r="K19" s="103"/>
      <c r="L19" s="103"/>
      <c r="M19" s="104"/>
      <c r="N19" s="104"/>
    </row>
    <row r="20" spans="1:14" s="57" customFormat="1" ht="18" customHeight="1">
      <c r="A20" s="378"/>
      <c r="B20" s="247"/>
      <c r="C20" s="72"/>
      <c r="D20" s="73"/>
      <c r="E20" s="74"/>
      <c r="F20" s="12"/>
      <c r="G20" s="12"/>
      <c r="H20" s="75">
        <f t="shared" si="2"/>
        <v>0</v>
      </c>
      <c r="I20" s="76">
        <f t="shared" si="3"/>
        <v>0</v>
      </c>
      <c r="J20" s="103"/>
      <c r="K20" s="103"/>
      <c r="L20" s="103"/>
      <c r="M20" s="104"/>
      <c r="N20" s="104"/>
    </row>
    <row r="21" spans="1:14" s="57" customFormat="1" ht="18" customHeight="1">
      <c r="A21" s="378"/>
      <c r="B21" s="247"/>
      <c r="C21" s="73"/>
      <c r="D21" s="73"/>
      <c r="E21" s="74"/>
      <c r="F21" s="12"/>
      <c r="G21" s="12"/>
      <c r="H21" s="75">
        <f t="shared" si="2"/>
        <v>0</v>
      </c>
      <c r="I21" s="76">
        <f t="shared" si="3"/>
        <v>0</v>
      </c>
      <c r="J21" s="103"/>
      <c r="K21" s="103"/>
      <c r="L21" s="103"/>
      <c r="M21" s="104"/>
      <c r="N21" s="104"/>
    </row>
    <row r="22" spans="1:14" s="57" customFormat="1" ht="18" customHeight="1">
      <c r="A22" s="378"/>
      <c r="B22" s="247"/>
      <c r="C22" s="72"/>
      <c r="D22" s="73"/>
      <c r="E22" s="88"/>
      <c r="F22" s="12"/>
      <c r="G22" s="12"/>
      <c r="H22" s="75">
        <f t="shared" si="2"/>
        <v>0</v>
      </c>
      <c r="I22" s="76">
        <f t="shared" si="3"/>
        <v>0</v>
      </c>
      <c r="J22" s="103"/>
      <c r="K22" s="103"/>
      <c r="L22" s="103"/>
      <c r="M22" s="104"/>
      <c r="N22" s="104"/>
    </row>
    <row r="23" spans="1:14" s="57" customFormat="1" ht="18" customHeight="1">
      <c r="A23" s="378"/>
      <c r="B23" s="247"/>
      <c r="C23" s="73"/>
      <c r="D23" s="73"/>
      <c r="E23" s="74"/>
      <c r="F23" s="12"/>
      <c r="G23" s="12"/>
      <c r="H23" s="75">
        <f t="shared" si="2"/>
        <v>0</v>
      </c>
      <c r="I23" s="76">
        <f t="shared" si="3"/>
        <v>0</v>
      </c>
      <c r="J23" s="205"/>
      <c r="K23" s="205"/>
      <c r="L23" s="206"/>
      <c r="M23" s="207"/>
      <c r="N23" s="207"/>
    </row>
    <row r="24" spans="1:14" s="57" customFormat="1" ht="18" customHeight="1">
      <c r="A24" s="378"/>
      <c r="B24" s="247"/>
      <c r="C24" s="72"/>
      <c r="D24" s="92"/>
      <c r="E24" s="74"/>
      <c r="F24" s="12"/>
      <c r="G24" s="12"/>
      <c r="H24" s="75">
        <f t="shared" si="2"/>
        <v>0</v>
      </c>
      <c r="I24" s="76">
        <f t="shared" si="3"/>
        <v>0</v>
      </c>
      <c r="J24" s="205"/>
      <c r="K24" s="205"/>
      <c r="L24" s="206"/>
      <c r="M24" s="207"/>
      <c r="N24" s="207"/>
    </row>
    <row r="25" spans="1:14" s="57" customFormat="1" ht="18" customHeight="1">
      <c r="A25" s="378"/>
      <c r="B25" s="247"/>
      <c r="C25" s="73"/>
      <c r="D25" s="92"/>
      <c r="E25" s="74"/>
      <c r="F25" s="12"/>
      <c r="G25" s="12"/>
      <c r="H25" s="75">
        <f t="shared" si="2"/>
        <v>0</v>
      </c>
      <c r="I25" s="76">
        <f t="shared" si="3"/>
        <v>0</v>
      </c>
      <c r="J25" s="205"/>
      <c r="K25" s="205"/>
      <c r="L25" s="206"/>
      <c r="M25" s="207"/>
      <c r="N25" s="207"/>
    </row>
    <row r="26" spans="1:14" s="57" customFormat="1" ht="18" customHeight="1">
      <c r="A26" s="378"/>
      <c r="B26" s="247"/>
      <c r="C26" s="73"/>
      <c r="D26" s="92"/>
      <c r="E26" s="74"/>
      <c r="F26" s="12"/>
      <c r="G26" s="12"/>
      <c r="H26" s="75">
        <f t="shared" si="2"/>
        <v>0</v>
      </c>
      <c r="I26" s="76">
        <f t="shared" si="3"/>
        <v>0</v>
      </c>
      <c r="J26" s="103"/>
      <c r="K26" s="103"/>
      <c r="L26" s="103"/>
      <c r="M26" s="104"/>
      <c r="N26" s="104"/>
    </row>
    <row r="27" spans="1:14" s="57" customFormat="1" ht="18" customHeight="1">
      <c r="A27" s="378"/>
      <c r="B27" s="247"/>
      <c r="C27" s="72"/>
      <c r="D27" s="73"/>
      <c r="E27" s="88"/>
      <c r="F27" s="72"/>
      <c r="G27" s="72"/>
      <c r="H27" s="75">
        <f t="shared" si="2"/>
        <v>0</v>
      </c>
      <c r="I27" s="76">
        <f t="shared" si="3"/>
        <v>0</v>
      </c>
      <c r="J27" s="103"/>
      <c r="K27" s="103"/>
      <c r="L27" s="103"/>
      <c r="M27" s="104"/>
      <c r="N27" s="104"/>
    </row>
    <row r="28" spans="1:14" s="57" customFormat="1" ht="18" customHeight="1">
      <c r="A28" s="378"/>
      <c r="B28" s="247"/>
      <c r="C28" s="92"/>
      <c r="D28" s="73"/>
      <c r="E28" s="74"/>
      <c r="F28" s="72"/>
      <c r="G28" s="72"/>
      <c r="H28" s="75">
        <f t="shared" si="2"/>
        <v>0</v>
      </c>
      <c r="I28" s="76">
        <f t="shared" si="3"/>
        <v>0</v>
      </c>
      <c r="J28" s="103"/>
      <c r="K28" s="103"/>
      <c r="L28" s="103"/>
      <c r="M28" s="104"/>
      <c r="N28" s="104"/>
    </row>
    <row r="29" spans="1:9" ht="24" customHeight="1" thickBot="1">
      <c r="A29" s="1"/>
      <c r="B29" s="3"/>
      <c r="C29" s="106"/>
      <c r="D29" s="107">
        <f>SUM(D4:D28)</f>
        <v>515</v>
      </c>
      <c r="E29" s="106"/>
      <c r="F29" s="3"/>
      <c r="G29" s="108">
        <f>SUM(G4:G28)</f>
        <v>39</v>
      </c>
      <c r="H29" s="108">
        <f>SUM(H4:H28)</f>
        <v>7110000</v>
      </c>
      <c r="I29" s="109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A1" sqref="A1:N28"/>
    </sheetView>
  </sheetViews>
  <sheetFormatPr defaultColWidth="9.140625" defaultRowHeight="12.75"/>
  <cols>
    <col min="1" max="1" width="25.140625" style="54" customWidth="1"/>
    <col min="2" max="2" width="7.8515625" style="55" customWidth="1"/>
    <col min="3" max="3" width="8.421875" style="56" customWidth="1"/>
    <col min="4" max="4" width="6.8515625" style="55" customWidth="1"/>
    <col min="5" max="5" width="8.140625" style="55" customWidth="1"/>
    <col min="6" max="6" width="10.140625" style="55" customWidth="1"/>
    <col min="7" max="7" width="9.140625" style="55" customWidth="1"/>
    <col min="8" max="8" width="13.421875" style="55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57" customFormat="1" ht="43.5" customHeight="1">
      <c r="B1" s="435" t="s">
        <v>248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</row>
    <row r="2" spans="2:14" s="57" customFormat="1" ht="29.25" customHeight="1">
      <c r="B2" s="444" t="s">
        <v>247</v>
      </c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</row>
    <row r="3" spans="1:14" s="70" customFormat="1" ht="27" customHeight="1">
      <c r="A3" s="59" t="s">
        <v>77</v>
      </c>
      <c r="B3" s="60" t="s">
        <v>78</v>
      </c>
      <c r="C3" s="60" t="s">
        <v>79</v>
      </c>
      <c r="D3" s="60" t="s">
        <v>80</v>
      </c>
      <c r="E3" s="60" t="s">
        <v>81</v>
      </c>
      <c r="F3" s="61" t="s">
        <v>82</v>
      </c>
      <c r="G3" s="62" t="s">
        <v>83</v>
      </c>
      <c r="H3" s="63" t="s">
        <v>84</v>
      </c>
      <c r="I3" s="64"/>
      <c r="J3" s="65" t="s">
        <v>82</v>
      </c>
      <c r="K3" s="66"/>
      <c r="L3" s="67"/>
      <c r="M3" s="68" t="s">
        <v>83</v>
      </c>
      <c r="N3" s="69" t="s">
        <v>85</v>
      </c>
    </row>
    <row r="4" spans="1:14" s="81" customFormat="1" ht="18" customHeight="1">
      <c r="A4" s="378" t="s">
        <v>30</v>
      </c>
      <c r="B4" s="247">
        <v>9.3</v>
      </c>
      <c r="C4" s="72">
        <v>37</v>
      </c>
      <c r="D4" s="92">
        <v>31</v>
      </c>
      <c r="E4" s="74">
        <v>14.43</v>
      </c>
      <c r="F4" s="72">
        <v>1</v>
      </c>
      <c r="G4" s="72">
        <v>10</v>
      </c>
      <c r="H4" s="75">
        <v>1650000</v>
      </c>
      <c r="I4" s="76">
        <f aca="true" t="shared" si="0" ref="I4:I11">IF(E4&gt;0,$N$13,0)+IF(C4&gt;0,50000,0)+IF(C12&lt;0,50000,0)</f>
        <v>410000</v>
      </c>
      <c r="J4" s="77" t="s">
        <v>86</v>
      </c>
      <c r="K4" s="78"/>
      <c r="L4" s="79"/>
      <c r="M4" s="80">
        <v>10</v>
      </c>
      <c r="N4" s="75">
        <f>N12*25%</f>
        <v>1500000</v>
      </c>
    </row>
    <row r="5" spans="1:14" s="81" customFormat="1" ht="18" customHeight="1">
      <c r="A5" s="378" t="s">
        <v>22</v>
      </c>
      <c r="B5" s="247">
        <v>12.2</v>
      </c>
      <c r="C5" s="72">
        <v>34</v>
      </c>
      <c r="D5" s="92">
        <v>34</v>
      </c>
      <c r="E5" s="88">
        <v>9.59</v>
      </c>
      <c r="F5" s="72">
        <v>2</v>
      </c>
      <c r="G5" s="72">
        <v>8</v>
      </c>
      <c r="H5" s="75">
        <v>1350000</v>
      </c>
      <c r="I5" s="76">
        <f t="shared" si="0"/>
        <v>410000</v>
      </c>
      <c r="J5" s="82" t="s">
        <v>87</v>
      </c>
      <c r="K5" s="83"/>
      <c r="L5" s="84"/>
      <c r="M5" s="85">
        <v>8</v>
      </c>
      <c r="N5" s="75">
        <f>N12*20%</f>
        <v>1200000</v>
      </c>
    </row>
    <row r="6" spans="1:14" s="81" customFormat="1" ht="18" customHeight="1">
      <c r="A6" s="378" t="s">
        <v>34</v>
      </c>
      <c r="B6" s="247">
        <v>14.8</v>
      </c>
      <c r="C6" s="72">
        <v>33</v>
      </c>
      <c r="D6" s="73">
        <v>32</v>
      </c>
      <c r="E6" s="88"/>
      <c r="F6" s="12">
        <v>3</v>
      </c>
      <c r="G6" s="12">
        <v>6</v>
      </c>
      <c r="H6" s="75">
        <f aca="true" t="shared" si="1" ref="H6:H11">N6+I6</f>
        <v>950000</v>
      </c>
      <c r="I6" s="76">
        <f t="shared" si="0"/>
        <v>50000</v>
      </c>
      <c r="J6" s="82" t="s">
        <v>88</v>
      </c>
      <c r="K6" s="83"/>
      <c r="L6" s="84"/>
      <c r="M6" s="85">
        <v>6</v>
      </c>
      <c r="N6" s="75">
        <f>N12*15%</f>
        <v>900000</v>
      </c>
    </row>
    <row r="7" spans="1:18" s="81" customFormat="1" ht="18" customHeight="1">
      <c r="A7" s="378" t="s">
        <v>26</v>
      </c>
      <c r="B7" s="247">
        <v>22.4</v>
      </c>
      <c r="C7" s="72">
        <v>33</v>
      </c>
      <c r="D7" s="73">
        <v>37</v>
      </c>
      <c r="E7" s="74"/>
      <c r="F7" s="72">
        <v>4</v>
      </c>
      <c r="G7" s="72">
        <v>5</v>
      </c>
      <c r="H7" s="75">
        <f t="shared" si="1"/>
        <v>770000</v>
      </c>
      <c r="I7" s="76">
        <f t="shared" si="0"/>
        <v>50000</v>
      </c>
      <c r="J7" s="82" t="s">
        <v>89</v>
      </c>
      <c r="K7" s="83"/>
      <c r="L7" s="84"/>
      <c r="M7" s="85">
        <v>5</v>
      </c>
      <c r="N7" s="75">
        <f>N12*12%</f>
        <v>720000</v>
      </c>
      <c r="O7" s="86"/>
      <c r="P7" s="86"/>
      <c r="Q7" s="86"/>
      <c r="R7" s="87"/>
    </row>
    <row r="8" spans="1:14" s="81" customFormat="1" ht="18" customHeight="1">
      <c r="A8" s="378" t="s">
        <v>18</v>
      </c>
      <c r="B8" s="247">
        <v>14.7</v>
      </c>
      <c r="C8" s="72">
        <v>31</v>
      </c>
      <c r="D8" s="73">
        <v>32</v>
      </c>
      <c r="E8" s="74"/>
      <c r="F8" s="72">
        <v>5</v>
      </c>
      <c r="G8" s="72">
        <v>4</v>
      </c>
      <c r="H8" s="75">
        <f t="shared" si="1"/>
        <v>650000</v>
      </c>
      <c r="I8" s="76">
        <f t="shared" si="0"/>
        <v>50000</v>
      </c>
      <c r="J8" s="82" t="s">
        <v>90</v>
      </c>
      <c r="K8" s="83"/>
      <c r="L8" s="84"/>
      <c r="M8" s="85">
        <v>4</v>
      </c>
      <c r="N8" s="75">
        <f>N12*10%</f>
        <v>600000</v>
      </c>
    </row>
    <row r="9" spans="1:14" s="81" customFormat="1" ht="18" customHeight="1">
      <c r="A9" s="378" t="s">
        <v>38</v>
      </c>
      <c r="B9" s="247">
        <v>14.9</v>
      </c>
      <c r="C9" s="72">
        <v>31</v>
      </c>
      <c r="D9" s="73">
        <v>35</v>
      </c>
      <c r="E9" s="88"/>
      <c r="F9" s="89">
        <v>6</v>
      </c>
      <c r="G9" s="89">
        <v>3</v>
      </c>
      <c r="H9" s="75">
        <f t="shared" si="1"/>
        <v>530000</v>
      </c>
      <c r="I9" s="76">
        <f t="shared" si="0"/>
        <v>50000</v>
      </c>
      <c r="J9" s="82" t="s">
        <v>91</v>
      </c>
      <c r="K9" s="83"/>
      <c r="L9" s="84"/>
      <c r="M9" s="85">
        <v>3</v>
      </c>
      <c r="N9" s="75">
        <f>N12*8%</f>
        <v>480000</v>
      </c>
    </row>
    <row r="10" spans="1:14" s="81" customFormat="1" ht="18" customHeight="1">
      <c r="A10" s="378" t="s">
        <v>42</v>
      </c>
      <c r="B10" s="247">
        <v>20.2</v>
      </c>
      <c r="C10" s="72">
        <v>31</v>
      </c>
      <c r="D10" s="73">
        <v>34</v>
      </c>
      <c r="E10" s="74"/>
      <c r="F10" s="72">
        <v>7</v>
      </c>
      <c r="G10" s="72">
        <v>2</v>
      </c>
      <c r="H10" s="75">
        <f t="shared" si="1"/>
        <v>410000</v>
      </c>
      <c r="I10" s="76">
        <f t="shared" si="0"/>
        <v>50000</v>
      </c>
      <c r="J10" s="82" t="s">
        <v>92</v>
      </c>
      <c r="K10" s="83"/>
      <c r="L10" s="84"/>
      <c r="M10" s="85">
        <v>2</v>
      </c>
      <c r="N10" s="75">
        <f>N12*6%</f>
        <v>360000</v>
      </c>
    </row>
    <row r="11" spans="1:14" s="81" customFormat="1" ht="18" customHeight="1">
      <c r="A11" s="378" t="s">
        <v>166</v>
      </c>
      <c r="B11" s="247">
        <v>14.9</v>
      </c>
      <c r="C11" s="72">
        <v>30</v>
      </c>
      <c r="D11" s="92">
        <v>35</v>
      </c>
      <c r="E11" s="88">
        <v>5.32</v>
      </c>
      <c r="F11" s="72">
        <v>8</v>
      </c>
      <c r="G11" s="72">
        <v>1</v>
      </c>
      <c r="H11" s="75">
        <f t="shared" si="1"/>
        <v>650000</v>
      </c>
      <c r="I11" s="76">
        <f t="shared" si="0"/>
        <v>410000</v>
      </c>
      <c r="J11" s="82" t="s">
        <v>93</v>
      </c>
      <c r="K11" s="83"/>
      <c r="L11" s="84"/>
      <c r="M11" s="85">
        <v>1</v>
      </c>
      <c r="N11" s="75">
        <f>N12*4%</f>
        <v>240000</v>
      </c>
    </row>
    <row r="12" spans="1:14" s="81" customFormat="1" ht="18" customHeight="1">
      <c r="A12" s="378" t="s">
        <v>44</v>
      </c>
      <c r="B12" s="247">
        <v>16.4</v>
      </c>
      <c r="C12" s="73">
        <v>30</v>
      </c>
      <c r="D12" s="92">
        <v>37</v>
      </c>
      <c r="E12" s="88"/>
      <c r="F12" s="72"/>
      <c r="G12" s="72"/>
      <c r="H12" s="75">
        <f aca="true" t="shared" si="2" ref="H12:H27">I12</f>
        <v>50000</v>
      </c>
      <c r="I12" s="76">
        <f aca="true" t="shared" si="3" ref="I12:I27">IF(E12&gt;0,$N$13,0)+IF(C12&gt;0,50000,0)+IF(C12&lt;0,50000,0)</f>
        <v>50000</v>
      </c>
      <c r="J12" s="90" t="s">
        <v>94</v>
      </c>
      <c r="K12" s="83"/>
      <c r="L12" s="84"/>
      <c r="M12" s="85"/>
      <c r="N12" s="91">
        <v>6000000</v>
      </c>
    </row>
    <row r="13" spans="1:14" s="81" customFormat="1" ht="18" customHeight="1">
      <c r="A13" s="378" t="s">
        <v>48</v>
      </c>
      <c r="B13" s="247">
        <v>8.1</v>
      </c>
      <c r="C13" s="72">
        <v>28</v>
      </c>
      <c r="D13" s="73">
        <v>35</v>
      </c>
      <c r="E13" s="74"/>
      <c r="F13" s="72"/>
      <c r="G13" s="72"/>
      <c r="H13" s="75">
        <f t="shared" si="2"/>
        <v>50000</v>
      </c>
      <c r="I13" s="76">
        <f t="shared" si="3"/>
        <v>50000</v>
      </c>
      <c r="J13" s="93" t="s">
        <v>95</v>
      </c>
      <c r="K13" s="94"/>
      <c r="L13" s="95"/>
      <c r="M13" s="96">
        <v>1</v>
      </c>
      <c r="N13" s="97">
        <f>N10</f>
        <v>360000</v>
      </c>
    </row>
    <row r="14" spans="1:14" s="81" customFormat="1" ht="18" customHeight="1">
      <c r="A14" s="378" t="s">
        <v>24</v>
      </c>
      <c r="B14" s="247">
        <v>13.3</v>
      </c>
      <c r="C14" s="72">
        <v>28</v>
      </c>
      <c r="D14" s="73">
        <v>38</v>
      </c>
      <c r="E14" s="74">
        <v>11.11</v>
      </c>
      <c r="F14" s="72"/>
      <c r="G14" s="72"/>
      <c r="H14" s="75">
        <v>150000</v>
      </c>
      <c r="I14" s="76">
        <f t="shared" si="3"/>
        <v>410000</v>
      </c>
      <c r="J14" s="98"/>
      <c r="K14" s="94"/>
      <c r="L14" s="94"/>
      <c r="M14" s="99"/>
      <c r="N14" s="100"/>
    </row>
    <row r="15" spans="1:14" s="81" customFormat="1" ht="18" customHeight="1">
      <c r="A15" s="378" t="s">
        <v>8</v>
      </c>
      <c r="B15" s="247">
        <v>20.3</v>
      </c>
      <c r="C15" s="72">
        <v>27</v>
      </c>
      <c r="D15" s="92">
        <v>38</v>
      </c>
      <c r="E15" s="88"/>
      <c r="F15" s="72"/>
      <c r="G15" s="72"/>
      <c r="H15" s="75">
        <f t="shared" si="2"/>
        <v>50000</v>
      </c>
      <c r="I15" s="76">
        <f t="shared" si="3"/>
        <v>50000</v>
      </c>
      <c r="J15" s="101"/>
      <c r="K15" s="102"/>
      <c r="L15" s="102"/>
      <c r="M15" s="103"/>
      <c r="N15" s="104"/>
    </row>
    <row r="16" spans="1:9" s="81" customFormat="1" ht="18" customHeight="1">
      <c r="A16" s="378"/>
      <c r="B16" s="247"/>
      <c r="C16" s="12"/>
      <c r="D16" s="92"/>
      <c r="E16" s="88"/>
      <c r="F16" s="12"/>
      <c r="G16" s="12"/>
      <c r="H16" s="75">
        <f t="shared" si="2"/>
        <v>0</v>
      </c>
      <c r="I16" s="76">
        <f t="shared" si="3"/>
        <v>0</v>
      </c>
    </row>
    <row r="17" spans="1:18" s="81" customFormat="1" ht="18" customHeight="1">
      <c r="A17" s="378"/>
      <c r="B17" s="247"/>
      <c r="C17" s="73"/>
      <c r="D17" s="73"/>
      <c r="E17" s="74"/>
      <c r="F17" s="12"/>
      <c r="G17" s="12"/>
      <c r="H17" s="75">
        <f t="shared" si="2"/>
        <v>0</v>
      </c>
      <c r="I17" s="76">
        <f t="shared" si="3"/>
        <v>0</v>
      </c>
      <c r="O17" s="86"/>
      <c r="P17" s="86"/>
      <c r="Q17" s="86"/>
      <c r="R17" s="87"/>
    </row>
    <row r="18" spans="1:12" s="81" customFormat="1" ht="18" customHeight="1">
      <c r="A18" s="378"/>
      <c r="B18" s="247"/>
      <c r="C18" s="72"/>
      <c r="D18" s="92"/>
      <c r="E18" s="74"/>
      <c r="F18" s="72"/>
      <c r="G18" s="72"/>
      <c r="H18" s="75">
        <f t="shared" si="2"/>
        <v>0</v>
      </c>
      <c r="I18" s="76">
        <f t="shared" si="3"/>
        <v>0</v>
      </c>
      <c r="J18" s="87"/>
      <c r="K18" s="87"/>
      <c r="L18" s="87"/>
    </row>
    <row r="19" spans="1:12" s="81" customFormat="1" ht="18" customHeight="1">
      <c r="A19" s="378"/>
      <c r="B19" s="247"/>
      <c r="C19" s="73"/>
      <c r="D19" s="73"/>
      <c r="E19" s="74"/>
      <c r="F19" s="72"/>
      <c r="G19" s="72"/>
      <c r="H19" s="75">
        <f t="shared" si="2"/>
        <v>0</v>
      </c>
      <c r="I19" s="76">
        <f t="shared" si="3"/>
        <v>0</v>
      </c>
      <c r="J19" s="87"/>
      <c r="K19" s="87"/>
      <c r="L19" s="87"/>
    </row>
    <row r="20" spans="1:9" s="57" customFormat="1" ht="18" customHeight="1">
      <c r="A20" s="378"/>
      <c r="B20" s="247"/>
      <c r="C20" s="72"/>
      <c r="D20" s="73"/>
      <c r="E20" s="88"/>
      <c r="F20" s="12"/>
      <c r="G20" s="12"/>
      <c r="H20" s="75">
        <f t="shared" si="2"/>
        <v>0</v>
      </c>
      <c r="I20" s="76">
        <f t="shared" si="3"/>
        <v>0</v>
      </c>
    </row>
    <row r="21" spans="1:9" s="57" customFormat="1" ht="18" customHeight="1">
      <c r="A21" s="378"/>
      <c r="B21" s="247"/>
      <c r="C21" s="72"/>
      <c r="D21" s="73"/>
      <c r="E21" s="74"/>
      <c r="F21" s="12"/>
      <c r="G21" s="12"/>
      <c r="H21" s="75">
        <f t="shared" si="2"/>
        <v>0</v>
      </c>
      <c r="I21" s="76">
        <f t="shared" si="3"/>
        <v>0</v>
      </c>
    </row>
    <row r="22" spans="1:9" s="57" customFormat="1" ht="18" customHeight="1">
      <c r="A22" s="378"/>
      <c r="B22" s="247"/>
      <c r="C22" s="12"/>
      <c r="D22" s="73"/>
      <c r="E22" s="74"/>
      <c r="F22" s="12"/>
      <c r="G22" s="12"/>
      <c r="H22" s="75">
        <f t="shared" si="2"/>
        <v>0</v>
      </c>
      <c r="I22" s="76">
        <f t="shared" si="3"/>
        <v>0</v>
      </c>
    </row>
    <row r="23" spans="1:9" s="57" customFormat="1" ht="18" customHeight="1">
      <c r="A23" s="378"/>
      <c r="B23" s="247"/>
      <c r="C23" s="73"/>
      <c r="D23" s="73"/>
      <c r="E23" s="74"/>
      <c r="F23" s="12"/>
      <c r="G23" s="12"/>
      <c r="H23" s="75">
        <f t="shared" si="2"/>
        <v>0</v>
      </c>
      <c r="I23" s="76">
        <f t="shared" si="3"/>
        <v>0</v>
      </c>
    </row>
    <row r="24" spans="1:9" s="57" customFormat="1" ht="18" customHeight="1">
      <c r="A24" s="378"/>
      <c r="B24" s="247"/>
      <c r="C24" s="73"/>
      <c r="D24" s="73"/>
      <c r="E24" s="74"/>
      <c r="F24" s="12"/>
      <c r="G24" s="12"/>
      <c r="H24" s="75">
        <f t="shared" si="2"/>
        <v>0</v>
      </c>
      <c r="I24" s="76">
        <f t="shared" si="3"/>
        <v>0</v>
      </c>
    </row>
    <row r="25" spans="1:9" s="57" customFormat="1" ht="18" customHeight="1">
      <c r="A25" s="378"/>
      <c r="B25" s="247"/>
      <c r="C25" s="72"/>
      <c r="D25" s="92"/>
      <c r="E25" s="74"/>
      <c r="F25" s="12"/>
      <c r="G25" s="12"/>
      <c r="H25" s="75">
        <f t="shared" si="2"/>
        <v>0</v>
      </c>
      <c r="I25" s="76">
        <f t="shared" si="3"/>
        <v>0</v>
      </c>
    </row>
    <row r="26" spans="1:9" s="57" customFormat="1" ht="18" customHeight="1">
      <c r="A26" s="152"/>
      <c r="B26" s="247"/>
      <c r="C26" s="73"/>
      <c r="D26" s="73"/>
      <c r="E26" s="74"/>
      <c r="F26" s="72"/>
      <c r="G26" s="72"/>
      <c r="H26" s="75">
        <f t="shared" si="2"/>
        <v>0</v>
      </c>
      <c r="I26" s="76">
        <f t="shared" si="3"/>
        <v>0</v>
      </c>
    </row>
    <row r="27" spans="1:9" s="57" customFormat="1" ht="18" customHeight="1">
      <c r="A27" s="152"/>
      <c r="B27" s="247"/>
      <c r="C27" s="92"/>
      <c r="D27" s="73"/>
      <c r="E27" s="74"/>
      <c r="F27" s="72"/>
      <c r="G27" s="72"/>
      <c r="H27" s="75">
        <f t="shared" si="2"/>
        <v>0</v>
      </c>
      <c r="I27" s="76">
        <f t="shared" si="3"/>
        <v>0</v>
      </c>
    </row>
    <row r="28" spans="1:9" ht="24" customHeight="1">
      <c r="A28" s="1"/>
      <c r="B28" s="3"/>
      <c r="C28" s="106"/>
      <c r="D28" s="107">
        <f>SUM(D4:D27)</f>
        <v>418</v>
      </c>
      <c r="E28" s="106"/>
      <c r="F28" s="3"/>
      <c r="G28" s="108">
        <f>SUM(G4:G27)</f>
        <v>39</v>
      </c>
      <c r="H28" s="108">
        <f>SUM(H4:H27)</f>
        <v>7260000</v>
      </c>
      <c r="I28" s="109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9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zoomScalePageLayoutView="0" workbookViewId="0" topLeftCell="A1">
      <selection activeCell="A1" sqref="A1:N28"/>
    </sheetView>
  </sheetViews>
  <sheetFormatPr defaultColWidth="9.140625" defaultRowHeight="12.75"/>
  <cols>
    <col min="1" max="1" width="25.140625" style="54" customWidth="1"/>
    <col min="2" max="2" width="7.8515625" style="55" customWidth="1"/>
    <col min="3" max="3" width="8.421875" style="56" customWidth="1"/>
    <col min="4" max="4" width="6.8515625" style="55" customWidth="1"/>
    <col min="5" max="5" width="8.140625" style="55" customWidth="1"/>
    <col min="6" max="6" width="10.140625" style="55" customWidth="1"/>
    <col min="7" max="7" width="9.140625" style="55" customWidth="1"/>
    <col min="8" max="8" width="13.421875" style="55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57" customFormat="1" ht="43.5" customHeight="1">
      <c r="B1" s="435" t="s">
        <v>184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</row>
    <row r="2" spans="2:14" s="57" customFormat="1" ht="29.25" customHeight="1">
      <c r="B2" s="444" t="s">
        <v>246</v>
      </c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</row>
    <row r="3" spans="1:14" s="70" customFormat="1" ht="27" customHeight="1">
      <c r="A3" s="59" t="s">
        <v>77</v>
      </c>
      <c r="B3" s="60" t="s">
        <v>78</v>
      </c>
      <c r="C3" s="60" t="s">
        <v>79</v>
      </c>
      <c r="D3" s="60" t="s">
        <v>80</v>
      </c>
      <c r="E3" s="60" t="s">
        <v>81</v>
      </c>
      <c r="F3" s="61" t="s">
        <v>82</v>
      </c>
      <c r="G3" s="62" t="s">
        <v>83</v>
      </c>
      <c r="H3" s="63" t="s">
        <v>84</v>
      </c>
      <c r="I3" s="64"/>
      <c r="J3" s="65" t="s">
        <v>82</v>
      </c>
      <c r="K3" s="66"/>
      <c r="L3" s="67"/>
      <c r="M3" s="68" t="s">
        <v>83</v>
      </c>
      <c r="N3" s="69" t="s">
        <v>85</v>
      </c>
    </row>
    <row r="4" spans="1:14" s="81" customFormat="1" ht="18" customHeight="1">
      <c r="A4" s="378" t="s">
        <v>30</v>
      </c>
      <c r="B4" s="247">
        <v>9.9</v>
      </c>
      <c r="C4" s="72">
        <v>39</v>
      </c>
      <c r="D4" s="73">
        <v>31</v>
      </c>
      <c r="E4" s="74">
        <v>4.97</v>
      </c>
      <c r="F4" s="72">
        <v>1</v>
      </c>
      <c r="G4" s="72">
        <v>10</v>
      </c>
      <c r="H4" s="75">
        <f aca="true" t="shared" si="0" ref="H4:H11">N4+I4</f>
        <v>1910000</v>
      </c>
      <c r="I4" s="76">
        <f aca="true" t="shared" si="1" ref="I4:I11">IF(E4&gt;0,$N$13,0)+IF(C4&gt;0,50000,0)+IF(C12&lt;0,50000,0)</f>
        <v>410000</v>
      </c>
      <c r="J4" s="77" t="s">
        <v>86</v>
      </c>
      <c r="K4" s="78"/>
      <c r="L4" s="79"/>
      <c r="M4" s="80">
        <v>10</v>
      </c>
      <c r="N4" s="75">
        <f>N12*25%</f>
        <v>1500000</v>
      </c>
    </row>
    <row r="5" spans="1:14" s="81" customFormat="1" ht="18" customHeight="1">
      <c r="A5" s="378" t="s">
        <v>38</v>
      </c>
      <c r="B5" s="247">
        <v>14.4</v>
      </c>
      <c r="C5" s="12">
        <v>38</v>
      </c>
      <c r="D5" s="92">
        <v>28</v>
      </c>
      <c r="E5" s="88"/>
      <c r="F5" s="72">
        <v>2</v>
      </c>
      <c r="G5" s="72">
        <v>8</v>
      </c>
      <c r="H5" s="75">
        <f t="shared" si="0"/>
        <v>1250000</v>
      </c>
      <c r="I5" s="76">
        <f t="shared" si="1"/>
        <v>50000</v>
      </c>
      <c r="J5" s="82" t="s">
        <v>87</v>
      </c>
      <c r="K5" s="83"/>
      <c r="L5" s="84"/>
      <c r="M5" s="85">
        <v>8</v>
      </c>
      <c r="N5" s="75">
        <f>N12*20%</f>
        <v>1200000</v>
      </c>
    </row>
    <row r="6" spans="1:14" s="81" customFormat="1" ht="18" customHeight="1">
      <c r="A6" s="378" t="s">
        <v>34</v>
      </c>
      <c r="B6" s="247">
        <v>15.1</v>
      </c>
      <c r="C6" s="72">
        <v>37</v>
      </c>
      <c r="D6" s="73">
        <v>29</v>
      </c>
      <c r="E6" s="74"/>
      <c r="F6" s="12">
        <v>3</v>
      </c>
      <c r="G6" s="12">
        <v>6</v>
      </c>
      <c r="H6" s="75">
        <f t="shared" si="0"/>
        <v>950000</v>
      </c>
      <c r="I6" s="76">
        <f t="shared" si="1"/>
        <v>50000</v>
      </c>
      <c r="J6" s="82" t="s">
        <v>88</v>
      </c>
      <c r="K6" s="83"/>
      <c r="L6" s="84"/>
      <c r="M6" s="85">
        <v>6</v>
      </c>
      <c r="N6" s="75">
        <f>N12*15%</f>
        <v>900000</v>
      </c>
    </row>
    <row r="7" spans="1:18" s="81" customFormat="1" ht="18" customHeight="1">
      <c r="A7" s="378" t="s">
        <v>28</v>
      </c>
      <c r="B7" s="247">
        <v>12</v>
      </c>
      <c r="C7" s="12">
        <v>36</v>
      </c>
      <c r="D7" s="92">
        <v>29</v>
      </c>
      <c r="E7" s="88"/>
      <c r="F7" s="72">
        <v>4</v>
      </c>
      <c r="G7" s="72">
        <v>5</v>
      </c>
      <c r="H7" s="75">
        <f t="shared" si="0"/>
        <v>770000</v>
      </c>
      <c r="I7" s="76">
        <f t="shared" si="1"/>
        <v>50000</v>
      </c>
      <c r="J7" s="82" t="s">
        <v>89</v>
      </c>
      <c r="K7" s="83"/>
      <c r="L7" s="84"/>
      <c r="M7" s="85">
        <v>5</v>
      </c>
      <c r="N7" s="75">
        <f>N12*12%</f>
        <v>720000</v>
      </c>
      <c r="O7" s="86"/>
      <c r="P7" s="86"/>
      <c r="Q7" s="86"/>
      <c r="R7" s="87"/>
    </row>
    <row r="8" spans="1:14" s="81" customFormat="1" ht="18" customHeight="1">
      <c r="A8" s="378" t="s">
        <v>44</v>
      </c>
      <c r="B8" s="247">
        <v>16.4</v>
      </c>
      <c r="C8" s="72">
        <v>35</v>
      </c>
      <c r="D8" s="73">
        <v>34</v>
      </c>
      <c r="E8" s="305"/>
      <c r="F8" s="72">
        <v>5</v>
      </c>
      <c r="G8" s="72">
        <v>4</v>
      </c>
      <c r="H8" s="75">
        <f t="shared" si="0"/>
        <v>650000</v>
      </c>
      <c r="I8" s="76">
        <f t="shared" si="1"/>
        <v>50000</v>
      </c>
      <c r="J8" s="82" t="s">
        <v>90</v>
      </c>
      <c r="K8" s="83"/>
      <c r="L8" s="84"/>
      <c r="M8" s="85">
        <v>4</v>
      </c>
      <c r="N8" s="75">
        <f>N12*10%</f>
        <v>600000</v>
      </c>
    </row>
    <row r="9" spans="1:14" s="81" customFormat="1" ht="18" customHeight="1">
      <c r="A9" s="378" t="s">
        <v>42</v>
      </c>
      <c r="B9" s="247">
        <v>20.2</v>
      </c>
      <c r="C9" s="72">
        <v>35</v>
      </c>
      <c r="D9" s="73">
        <v>37</v>
      </c>
      <c r="E9" s="74"/>
      <c r="F9" s="89">
        <v>6</v>
      </c>
      <c r="G9" s="89">
        <v>3</v>
      </c>
      <c r="H9" s="75">
        <f t="shared" si="0"/>
        <v>530000</v>
      </c>
      <c r="I9" s="76">
        <f t="shared" si="1"/>
        <v>50000</v>
      </c>
      <c r="J9" s="82" t="s">
        <v>91</v>
      </c>
      <c r="K9" s="83"/>
      <c r="L9" s="84"/>
      <c r="M9" s="85">
        <v>3</v>
      </c>
      <c r="N9" s="75">
        <f>N12*8%</f>
        <v>480000</v>
      </c>
    </row>
    <row r="10" spans="1:14" s="81" customFormat="1" ht="18" customHeight="1">
      <c r="A10" s="378" t="s">
        <v>10</v>
      </c>
      <c r="B10" s="247">
        <v>13</v>
      </c>
      <c r="C10" s="72">
        <v>34</v>
      </c>
      <c r="D10" s="92">
        <v>31</v>
      </c>
      <c r="E10" s="74"/>
      <c r="F10" s="72">
        <v>7</v>
      </c>
      <c r="G10" s="72">
        <v>2</v>
      </c>
      <c r="H10" s="75">
        <f t="shared" si="0"/>
        <v>410000</v>
      </c>
      <c r="I10" s="76">
        <f t="shared" si="1"/>
        <v>50000</v>
      </c>
      <c r="J10" s="82" t="s">
        <v>92</v>
      </c>
      <c r="K10" s="83"/>
      <c r="L10" s="84"/>
      <c r="M10" s="85">
        <v>2</v>
      </c>
      <c r="N10" s="75">
        <f>N12*6%</f>
        <v>360000</v>
      </c>
    </row>
    <row r="11" spans="1:14" s="81" customFormat="1" ht="18" customHeight="1">
      <c r="A11" s="378" t="s">
        <v>26</v>
      </c>
      <c r="B11" s="247">
        <v>23.2</v>
      </c>
      <c r="C11" s="72">
        <v>34</v>
      </c>
      <c r="D11" s="73">
        <v>31</v>
      </c>
      <c r="E11" s="74"/>
      <c r="F11" s="72">
        <v>8</v>
      </c>
      <c r="G11" s="72">
        <v>1</v>
      </c>
      <c r="H11" s="75">
        <f t="shared" si="0"/>
        <v>290000</v>
      </c>
      <c r="I11" s="76">
        <f t="shared" si="1"/>
        <v>50000</v>
      </c>
      <c r="J11" s="82" t="s">
        <v>93</v>
      </c>
      <c r="K11" s="83"/>
      <c r="L11" s="84"/>
      <c r="M11" s="85">
        <v>1</v>
      </c>
      <c r="N11" s="75">
        <f>N12*4%</f>
        <v>240000</v>
      </c>
    </row>
    <row r="12" spans="1:14" s="81" customFormat="1" ht="18" customHeight="1">
      <c r="A12" s="378" t="s">
        <v>148</v>
      </c>
      <c r="B12" s="247">
        <v>10.4</v>
      </c>
      <c r="C12" s="72">
        <v>33</v>
      </c>
      <c r="D12" s="92">
        <v>34</v>
      </c>
      <c r="E12" s="74"/>
      <c r="F12" s="72"/>
      <c r="G12" s="72"/>
      <c r="H12" s="75">
        <f aca="true" t="shared" si="2" ref="H12:H28">I12</f>
        <v>50000</v>
      </c>
      <c r="I12" s="76">
        <f aca="true" t="shared" si="3" ref="I12:I28">IF(E12&gt;0,$N$13,0)+IF(C12&gt;0,50000,0)+IF(C12&lt;0,50000,0)</f>
        <v>50000</v>
      </c>
      <c r="J12" s="90" t="s">
        <v>94</v>
      </c>
      <c r="K12" s="83"/>
      <c r="L12" s="84"/>
      <c r="M12" s="85"/>
      <c r="N12" s="91">
        <v>6000000</v>
      </c>
    </row>
    <row r="13" spans="1:14" s="81" customFormat="1" ht="18" customHeight="1">
      <c r="A13" s="378" t="s">
        <v>8</v>
      </c>
      <c r="B13" s="247">
        <v>20.3</v>
      </c>
      <c r="C13" s="72">
        <v>32</v>
      </c>
      <c r="D13" s="73">
        <v>36</v>
      </c>
      <c r="E13" s="74"/>
      <c r="F13" s="72"/>
      <c r="G13" s="72"/>
      <c r="H13" s="75">
        <f t="shared" si="2"/>
        <v>50000</v>
      </c>
      <c r="I13" s="76">
        <f t="shared" si="3"/>
        <v>50000</v>
      </c>
      <c r="J13" s="93" t="s">
        <v>95</v>
      </c>
      <c r="K13" s="94"/>
      <c r="L13" s="95"/>
      <c r="M13" s="96">
        <v>1</v>
      </c>
      <c r="N13" s="97">
        <f>N10</f>
        <v>360000</v>
      </c>
    </row>
    <row r="14" spans="1:14" s="81" customFormat="1" ht="18" customHeight="1">
      <c r="A14" s="378" t="s">
        <v>18</v>
      </c>
      <c r="B14" s="247">
        <v>14.9</v>
      </c>
      <c r="C14" s="73">
        <v>31</v>
      </c>
      <c r="D14" s="73">
        <v>35</v>
      </c>
      <c r="E14" s="74"/>
      <c r="F14" s="72"/>
      <c r="G14" s="72"/>
      <c r="H14" s="75">
        <f t="shared" si="2"/>
        <v>50000</v>
      </c>
      <c r="I14" s="76">
        <f t="shared" si="3"/>
        <v>50000</v>
      </c>
      <c r="J14" s="98"/>
      <c r="K14" s="94"/>
      <c r="L14" s="94"/>
      <c r="M14" s="99"/>
      <c r="N14" s="100"/>
    </row>
    <row r="15" spans="1:14" s="81" customFormat="1" ht="18" customHeight="1">
      <c r="A15" s="378" t="s">
        <v>36</v>
      </c>
      <c r="B15" s="247">
        <v>19.2</v>
      </c>
      <c r="C15" s="73">
        <v>29</v>
      </c>
      <c r="D15" s="92">
        <v>35</v>
      </c>
      <c r="E15" s="74"/>
      <c r="F15" s="72"/>
      <c r="G15" s="72"/>
      <c r="H15" s="75">
        <f t="shared" si="2"/>
        <v>50000</v>
      </c>
      <c r="I15" s="76">
        <f t="shared" si="3"/>
        <v>50000</v>
      </c>
      <c r="J15" s="101"/>
      <c r="K15" s="102"/>
      <c r="L15" s="102"/>
      <c r="M15" s="103"/>
      <c r="N15" s="104"/>
    </row>
    <row r="16" spans="1:9" s="81" customFormat="1" ht="18" customHeight="1">
      <c r="A16" s="378" t="s">
        <v>166</v>
      </c>
      <c r="B16" s="247">
        <v>14.8</v>
      </c>
      <c r="C16" s="72">
        <v>26</v>
      </c>
      <c r="D16" s="73">
        <v>41</v>
      </c>
      <c r="E16" s="88"/>
      <c r="F16" s="12"/>
      <c r="G16" s="12"/>
      <c r="H16" s="75">
        <f t="shared" si="2"/>
        <v>50000</v>
      </c>
      <c r="I16" s="76">
        <f t="shared" si="3"/>
        <v>50000</v>
      </c>
    </row>
    <row r="17" spans="1:18" s="81" customFormat="1" ht="18" customHeight="1">
      <c r="A17" s="378" t="s">
        <v>22</v>
      </c>
      <c r="B17" s="247">
        <v>12.1</v>
      </c>
      <c r="C17" s="72">
        <v>24</v>
      </c>
      <c r="D17" s="73">
        <v>39</v>
      </c>
      <c r="E17" s="88"/>
      <c r="F17" s="12"/>
      <c r="G17" s="12"/>
      <c r="H17" s="75">
        <f t="shared" si="2"/>
        <v>50000</v>
      </c>
      <c r="I17" s="76">
        <f t="shared" si="3"/>
        <v>50000</v>
      </c>
      <c r="O17" s="86"/>
      <c r="P17" s="86"/>
      <c r="Q17" s="86"/>
      <c r="R17" s="87"/>
    </row>
    <row r="18" spans="1:18" s="81" customFormat="1" ht="18" customHeight="1">
      <c r="A18" s="378"/>
      <c r="B18" s="247"/>
      <c r="C18" s="72"/>
      <c r="D18" s="73"/>
      <c r="E18" s="74"/>
      <c r="F18" s="72"/>
      <c r="G18" s="72"/>
      <c r="H18" s="75">
        <f t="shared" si="2"/>
        <v>0</v>
      </c>
      <c r="I18" s="76">
        <f t="shared" si="3"/>
        <v>0</v>
      </c>
      <c r="J18" s="87"/>
      <c r="K18" s="87"/>
      <c r="L18" s="87"/>
      <c r="M18" s="87"/>
      <c r="O18" s="87"/>
      <c r="P18" s="87"/>
      <c r="Q18" s="87"/>
      <c r="R18" s="87"/>
    </row>
    <row r="19" spans="1:18" s="81" customFormat="1" ht="18" customHeight="1">
      <c r="A19" s="378"/>
      <c r="B19" s="247"/>
      <c r="C19" s="72"/>
      <c r="D19" s="73"/>
      <c r="E19" s="74"/>
      <c r="F19" s="72"/>
      <c r="G19" s="72"/>
      <c r="H19" s="75">
        <f t="shared" si="2"/>
        <v>0</v>
      </c>
      <c r="I19" s="76">
        <f t="shared" si="3"/>
        <v>0</v>
      </c>
      <c r="J19" s="87"/>
      <c r="K19" s="87"/>
      <c r="L19" s="87"/>
      <c r="M19" s="87"/>
      <c r="O19" s="87"/>
      <c r="P19" s="87"/>
      <c r="Q19" s="87"/>
      <c r="R19" s="87"/>
    </row>
    <row r="20" spans="1:9" s="57" customFormat="1" ht="18" customHeight="1">
      <c r="A20" s="378"/>
      <c r="B20" s="247"/>
      <c r="C20" s="73"/>
      <c r="D20" s="73"/>
      <c r="E20" s="88"/>
      <c r="F20" s="12"/>
      <c r="G20" s="12"/>
      <c r="H20" s="75">
        <f t="shared" si="2"/>
        <v>0</v>
      </c>
      <c r="I20" s="76">
        <f t="shared" si="3"/>
        <v>0</v>
      </c>
    </row>
    <row r="21" spans="1:9" s="57" customFormat="1" ht="18" customHeight="1">
      <c r="A21" s="378"/>
      <c r="B21" s="247"/>
      <c r="C21" s="73"/>
      <c r="D21" s="92"/>
      <c r="E21" s="74"/>
      <c r="F21" s="12"/>
      <c r="G21" s="12"/>
      <c r="H21" s="75">
        <f t="shared" si="2"/>
        <v>0</v>
      </c>
      <c r="I21" s="76">
        <f t="shared" si="3"/>
        <v>0</v>
      </c>
    </row>
    <row r="22" spans="1:9" s="57" customFormat="1" ht="18" customHeight="1">
      <c r="A22" s="378"/>
      <c r="B22" s="247"/>
      <c r="C22" s="72"/>
      <c r="D22" s="73"/>
      <c r="E22" s="74"/>
      <c r="F22" s="12"/>
      <c r="G22" s="12"/>
      <c r="H22" s="75">
        <f t="shared" si="2"/>
        <v>0</v>
      </c>
      <c r="I22" s="76">
        <f t="shared" si="3"/>
        <v>0</v>
      </c>
    </row>
    <row r="23" spans="1:9" s="57" customFormat="1" ht="18" customHeight="1">
      <c r="A23" s="378"/>
      <c r="B23" s="247"/>
      <c r="C23" s="73"/>
      <c r="D23" s="73"/>
      <c r="E23" s="74"/>
      <c r="F23" s="12"/>
      <c r="G23" s="12"/>
      <c r="H23" s="75">
        <f t="shared" si="2"/>
        <v>0</v>
      </c>
      <c r="I23" s="76">
        <f t="shared" si="3"/>
        <v>0</v>
      </c>
    </row>
    <row r="24" spans="1:9" s="57" customFormat="1" ht="18" customHeight="1">
      <c r="A24" s="378"/>
      <c r="B24" s="247"/>
      <c r="C24" s="92"/>
      <c r="D24" s="92"/>
      <c r="E24" s="74"/>
      <c r="F24" s="12"/>
      <c r="G24" s="12"/>
      <c r="H24" s="75">
        <f t="shared" si="2"/>
        <v>0</v>
      </c>
      <c r="I24" s="76">
        <f t="shared" si="3"/>
        <v>0</v>
      </c>
    </row>
    <row r="25" spans="1:9" s="57" customFormat="1" ht="18" customHeight="1">
      <c r="A25" s="378"/>
      <c r="B25" s="247"/>
      <c r="C25" s="72"/>
      <c r="D25" s="92"/>
      <c r="E25" s="88"/>
      <c r="F25" s="12"/>
      <c r="G25" s="12"/>
      <c r="H25" s="75">
        <f t="shared" si="2"/>
        <v>0</v>
      </c>
      <c r="I25" s="76">
        <f t="shared" si="3"/>
        <v>0</v>
      </c>
    </row>
    <row r="26" spans="1:9" s="57" customFormat="1" ht="18" customHeight="1">
      <c r="A26" s="378"/>
      <c r="B26" s="247"/>
      <c r="C26" s="72"/>
      <c r="D26" s="73"/>
      <c r="E26" s="74"/>
      <c r="F26" s="72"/>
      <c r="G26" s="72"/>
      <c r="H26" s="75">
        <f t="shared" si="2"/>
        <v>0</v>
      </c>
      <c r="I26" s="76">
        <f t="shared" si="3"/>
        <v>0</v>
      </c>
    </row>
    <row r="27" spans="1:9" s="57" customFormat="1" ht="18" customHeight="1">
      <c r="A27" s="378"/>
      <c r="B27" s="247"/>
      <c r="C27" s="73"/>
      <c r="D27" s="73"/>
      <c r="E27" s="74"/>
      <c r="F27" s="72"/>
      <c r="G27" s="72"/>
      <c r="H27" s="75">
        <f t="shared" si="2"/>
        <v>0</v>
      </c>
      <c r="I27" s="76"/>
    </row>
    <row r="28" spans="1:14" ht="24" customHeight="1">
      <c r="A28" s="378"/>
      <c r="B28" s="247"/>
      <c r="C28" s="72"/>
      <c r="D28" s="73"/>
      <c r="E28" s="88"/>
      <c r="F28" s="72"/>
      <c r="G28" s="72"/>
      <c r="H28" s="75">
        <f t="shared" si="2"/>
        <v>0</v>
      </c>
      <c r="I28" s="76">
        <f t="shared" si="3"/>
        <v>0</v>
      </c>
      <c r="J28" s="57"/>
      <c r="K28" s="57"/>
      <c r="L28" s="57"/>
      <c r="M28" s="57"/>
      <c r="N28" s="57"/>
    </row>
    <row r="29" spans="1:9" ht="15" thickBot="1">
      <c r="A29" s="1"/>
      <c r="B29" s="3"/>
      <c r="C29" s="106"/>
      <c r="D29" s="107">
        <f>SUM(D4:D28)</f>
        <v>470</v>
      </c>
      <c r="E29" s="106"/>
      <c r="F29" s="3"/>
      <c r="G29" s="108">
        <f>SUM(G4:G28)</f>
        <v>39</v>
      </c>
      <c r="H29" s="108">
        <f>SUM(H4:H28)</f>
        <v>7060000</v>
      </c>
      <c r="I29" s="109"/>
    </row>
    <row r="30" ht="18.75" thickTop="1"/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54" customWidth="1"/>
    <col min="2" max="2" width="7.8515625" style="55" customWidth="1"/>
    <col min="3" max="3" width="8.421875" style="56" customWidth="1"/>
    <col min="4" max="4" width="6.8515625" style="55" customWidth="1"/>
    <col min="5" max="5" width="8.140625" style="55" customWidth="1"/>
    <col min="6" max="6" width="10.140625" style="55" customWidth="1"/>
    <col min="7" max="7" width="9.140625" style="55" customWidth="1"/>
    <col min="8" max="8" width="13.421875" style="55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57" customFormat="1" ht="43.5" customHeight="1">
      <c r="B1" s="435" t="s">
        <v>245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</row>
    <row r="2" spans="2:14" s="57" customFormat="1" ht="29.25" customHeight="1">
      <c r="B2" s="444" t="s">
        <v>244</v>
      </c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</row>
    <row r="3" spans="1:14" s="70" customFormat="1" ht="27" customHeight="1">
      <c r="A3" s="59" t="s">
        <v>77</v>
      </c>
      <c r="B3" s="60" t="s">
        <v>78</v>
      </c>
      <c r="C3" s="60" t="s">
        <v>83</v>
      </c>
      <c r="D3" s="60" t="s">
        <v>80</v>
      </c>
      <c r="E3" s="60" t="s">
        <v>81</v>
      </c>
      <c r="F3" s="61" t="s">
        <v>82</v>
      </c>
      <c r="G3" s="62" t="s">
        <v>83</v>
      </c>
      <c r="H3" s="63" t="s">
        <v>84</v>
      </c>
      <c r="I3" s="64"/>
      <c r="J3" s="65" t="s">
        <v>82</v>
      </c>
      <c r="K3" s="66"/>
      <c r="L3" s="67"/>
      <c r="M3" s="68" t="s">
        <v>83</v>
      </c>
      <c r="N3" s="69" t="s">
        <v>85</v>
      </c>
    </row>
    <row r="4" spans="1:14" s="81" customFormat="1" ht="18" customHeight="1">
      <c r="A4" s="378" t="s">
        <v>148</v>
      </c>
      <c r="B4" s="247">
        <v>11</v>
      </c>
      <c r="C4" s="72">
        <v>39</v>
      </c>
      <c r="D4" s="73">
        <v>30</v>
      </c>
      <c r="E4" s="74"/>
      <c r="F4" s="72">
        <v>1</v>
      </c>
      <c r="G4" s="72">
        <v>10</v>
      </c>
      <c r="H4" s="75">
        <f aca="true" t="shared" si="0" ref="H4:H11">N4+I4</f>
        <v>1550000</v>
      </c>
      <c r="I4" s="76">
        <f aca="true" t="shared" si="1" ref="I4:I11">IF(E4&gt;0,$N$13,0)+IF(C4&gt;0,50000,0)+IF(C12&lt;0,50000,0)</f>
        <v>50000</v>
      </c>
      <c r="J4" s="77" t="s">
        <v>86</v>
      </c>
      <c r="K4" s="78"/>
      <c r="L4" s="79"/>
      <c r="M4" s="80">
        <v>10</v>
      </c>
      <c r="N4" s="75">
        <f>N12*25%</f>
        <v>1500000</v>
      </c>
    </row>
    <row r="5" spans="1:14" s="81" customFormat="1" ht="18" customHeight="1">
      <c r="A5" s="378" t="s">
        <v>14</v>
      </c>
      <c r="B5" s="247">
        <v>12.4</v>
      </c>
      <c r="C5" s="72">
        <v>37</v>
      </c>
      <c r="D5" s="92">
        <v>31</v>
      </c>
      <c r="E5" s="88"/>
      <c r="F5" s="72">
        <v>2</v>
      </c>
      <c r="G5" s="72">
        <v>8</v>
      </c>
      <c r="H5" s="75">
        <f t="shared" si="0"/>
        <v>1250000</v>
      </c>
      <c r="I5" s="76">
        <f t="shared" si="1"/>
        <v>50000</v>
      </c>
      <c r="J5" s="82" t="s">
        <v>87</v>
      </c>
      <c r="K5" s="83"/>
      <c r="L5" s="84"/>
      <c r="M5" s="85">
        <v>8</v>
      </c>
      <c r="N5" s="75">
        <f>N12*20%</f>
        <v>1200000</v>
      </c>
    </row>
    <row r="6" spans="1:14" s="81" customFormat="1" ht="18" customHeight="1">
      <c r="A6" s="378" t="s">
        <v>12</v>
      </c>
      <c r="B6" s="247">
        <v>16.6</v>
      </c>
      <c r="C6" s="73">
        <v>36</v>
      </c>
      <c r="D6" s="73">
        <v>30</v>
      </c>
      <c r="E6" s="74"/>
      <c r="F6" s="12">
        <v>3</v>
      </c>
      <c r="G6" s="12">
        <v>6</v>
      </c>
      <c r="H6" s="75">
        <f t="shared" si="0"/>
        <v>950000</v>
      </c>
      <c r="I6" s="76">
        <f t="shared" si="1"/>
        <v>50000</v>
      </c>
      <c r="J6" s="82" t="s">
        <v>88</v>
      </c>
      <c r="K6" s="83"/>
      <c r="L6" s="84"/>
      <c r="M6" s="85">
        <v>6</v>
      </c>
      <c r="N6" s="75">
        <f>N12*15%</f>
        <v>900000</v>
      </c>
    </row>
    <row r="7" spans="1:18" s="81" customFormat="1" ht="18" customHeight="1">
      <c r="A7" s="378" t="s">
        <v>50</v>
      </c>
      <c r="B7" s="247">
        <v>24.4</v>
      </c>
      <c r="C7" s="72">
        <v>36</v>
      </c>
      <c r="D7" s="92">
        <v>30</v>
      </c>
      <c r="E7" s="88"/>
      <c r="F7" s="72">
        <v>4</v>
      </c>
      <c r="G7" s="72">
        <v>5</v>
      </c>
      <c r="H7" s="75">
        <f t="shared" si="0"/>
        <v>770000</v>
      </c>
      <c r="I7" s="76">
        <f t="shared" si="1"/>
        <v>50000</v>
      </c>
      <c r="J7" s="82" t="s">
        <v>89</v>
      </c>
      <c r="K7" s="83"/>
      <c r="L7" s="84"/>
      <c r="M7" s="85">
        <v>5</v>
      </c>
      <c r="N7" s="75">
        <f>N12*12%</f>
        <v>720000</v>
      </c>
      <c r="O7" s="86"/>
      <c r="P7" s="86"/>
      <c r="Q7" s="86"/>
      <c r="R7" s="87"/>
    </row>
    <row r="8" spans="1:14" s="81" customFormat="1" ht="18" customHeight="1">
      <c r="A8" s="378" t="s">
        <v>8</v>
      </c>
      <c r="B8" s="247">
        <v>20.3</v>
      </c>
      <c r="C8" s="72">
        <v>35</v>
      </c>
      <c r="D8" s="73">
        <v>33</v>
      </c>
      <c r="E8" s="305"/>
      <c r="F8" s="72">
        <v>5</v>
      </c>
      <c r="G8" s="72">
        <v>4</v>
      </c>
      <c r="H8" s="75">
        <f t="shared" si="0"/>
        <v>650000</v>
      </c>
      <c r="I8" s="76">
        <f t="shared" si="1"/>
        <v>50000</v>
      </c>
      <c r="J8" s="82" t="s">
        <v>90</v>
      </c>
      <c r="K8" s="83"/>
      <c r="L8" s="84"/>
      <c r="M8" s="85">
        <v>4</v>
      </c>
      <c r="N8" s="75">
        <f>N12*10%</f>
        <v>600000</v>
      </c>
    </row>
    <row r="9" spans="1:14" s="81" customFormat="1" ht="18" customHeight="1">
      <c r="A9" s="378" t="s">
        <v>28</v>
      </c>
      <c r="B9" s="247">
        <v>12.3</v>
      </c>
      <c r="C9" s="12">
        <v>34</v>
      </c>
      <c r="D9" s="73">
        <v>31</v>
      </c>
      <c r="E9" s="74"/>
      <c r="F9" s="89">
        <v>6</v>
      </c>
      <c r="G9" s="89">
        <v>3</v>
      </c>
      <c r="H9" s="75">
        <f t="shared" si="0"/>
        <v>530000</v>
      </c>
      <c r="I9" s="76">
        <f t="shared" si="1"/>
        <v>50000</v>
      </c>
      <c r="J9" s="82" t="s">
        <v>91</v>
      </c>
      <c r="K9" s="83"/>
      <c r="L9" s="84"/>
      <c r="M9" s="85">
        <v>3</v>
      </c>
      <c r="N9" s="75">
        <f>N12*8%</f>
        <v>480000</v>
      </c>
    </row>
    <row r="10" spans="1:14" s="81" customFormat="1" ht="18" customHeight="1">
      <c r="A10" s="378" t="s">
        <v>38</v>
      </c>
      <c r="B10" s="247">
        <v>14.4</v>
      </c>
      <c r="C10" s="72">
        <v>34</v>
      </c>
      <c r="D10" s="92">
        <v>28</v>
      </c>
      <c r="E10" s="74"/>
      <c r="F10" s="72">
        <v>7</v>
      </c>
      <c r="G10" s="72">
        <v>2</v>
      </c>
      <c r="H10" s="75">
        <f t="shared" si="0"/>
        <v>410000</v>
      </c>
      <c r="I10" s="76">
        <f t="shared" si="1"/>
        <v>50000</v>
      </c>
      <c r="J10" s="82" t="s">
        <v>92</v>
      </c>
      <c r="K10" s="83"/>
      <c r="L10" s="84"/>
      <c r="M10" s="85">
        <v>2</v>
      </c>
      <c r="N10" s="75">
        <f>N12*6%</f>
        <v>360000</v>
      </c>
    </row>
    <row r="11" spans="1:14" s="81" customFormat="1" ht="18" customHeight="1">
      <c r="A11" s="378" t="s">
        <v>44</v>
      </c>
      <c r="B11" s="247">
        <v>16.4</v>
      </c>
      <c r="C11" s="72">
        <v>34</v>
      </c>
      <c r="D11" s="73">
        <v>36</v>
      </c>
      <c r="E11" s="74"/>
      <c r="F11" s="72">
        <v>8</v>
      </c>
      <c r="G11" s="72">
        <v>1</v>
      </c>
      <c r="H11" s="75">
        <f t="shared" si="0"/>
        <v>290000</v>
      </c>
      <c r="I11" s="76">
        <f t="shared" si="1"/>
        <v>50000</v>
      </c>
      <c r="J11" s="82" t="s">
        <v>93</v>
      </c>
      <c r="K11" s="83"/>
      <c r="L11" s="84"/>
      <c r="M11" s="85">
        <v>1</v>
      </c>
      <c r="N11" s="75">
        <f>N12*4%</f>
        <v>240000</v>
      </c>
    </row>
    <row r="12" spans="1:14" s="81" customFormat="1" ht="18" customHeight="1">
      <c r="A12" s="378" t="s">
        <v>166</v>
      </c>
      <c r="B12" s="247">
        <v>14.7</v>
      </c>
      <c r="C12" s="73">
        <v>32</v>
      </c>
      <c r="D12" s="92">
        <v>32</v>
      </c>
      <c r="E12" s="74"/>
      <c r="F12" s="72"/>
      <c r="G12" s="72"/>
      <c r="H12" s="75">
        <f aca="true" t="shared" si="2" ref="H12:H28">I12</f>
        <v>50000</v>
      </c>
      <c r="I12" s="76">
        <f aca="true" t="shared" si="3" ref="I12:I28">IF(E12&gt;0,$N$13,0)+IF(C12&gt;0,50000,0)+IF(C12&lt;0,50000,0)</f>
        <v>50000</v>
      </c>
      <c r="J12" s="90" t="s">
        <v>94</v>
      </c>
      <c r="K12" s="83"/>
      <c r="L12" s="84"/>
      <c r="M12" s="85"/>
      <c r="N12" s="91">
        <v>6000000</v>
      </c>
    </row>
    <row r="13" spans="1:14" s="81" customFormat="1" ht="18" customHeight="1">
      <c r="A13" s="378" t="s">
        <v>34</v>
      </c>
      <c r="B13" s="247">
        <v>15</v>
      </c>
      <c r="C13" s="12">
        <v>32</v>
      </c>
      <c r="D13" s="73">
        <v>36</v>
      </c>
      <c r="E13" s="74"/>
      <c r="F13" s="72"/>
      <c r="G13" s="72"/>
      <c r="H13" s="75">
        <f t="shared" si="2"/>
        <v>50000</v>
      </c>
      <c r="I13" s="76">
        <f t="shared" si="3"/>
        <v>50000</v>
      </c>
      <c r="J13" s="93" t="s">
        <v>95</v>
      </c>
      <c r="K13" s="94"/>
      <c r="L13" s="95"/>
      <c r="M13" s="96">
        <v>1</v>
      </c>
      <c r="N13" s="97">
        <f>N10</f>
        <v>360000</v>
      </c>
    </row>
    <row r="14" spans="1:14" s="81" customFormat="1" ht="18" customHeight="1">
      <c r="A14" s="378" t="s">
        <v>20</v>
      </c>
      <c r="B14" s="247">
        <v>16.6</v>
      </c>
      <c r="C14" s="72">
        <v>32</v>
      </c>
      <c r="D14" s="73">
        <v>29</v>
      </c>
      <c r="E14" s="74"/>
      <c r="F14" s="72"/>
      <c r="G14" s="72"/>
      <c r="H14" s="75">
        <f t="shared" si="2"/>
        <v>50000</v>
      </c>
      <c r="I14" s="76">
        <f t="shared" si="3"/>
        <v>50000</v>
      </c>
      <c r="J14" s="98"/>
      <c r="K14" s="94"/>
      <c r="L14" s="94"/>
      <c r="M14" s="99"/>
      <c r="N14" s="100"/>
    </row>
    <row r="15" spans="1:14" s="81" customFormat="1" ht="18" customHeight="1">
      <c r="A15" s="378" t="s">
        <v>26</v>
      </c>
      <c r="B15" s="247">
        <v>23.1</v>
      </c>
      <c r="C15" s="72">
        <v>31</v>
      </c>
      <c r="D15" s="92">
        <v>32</v>
      </c>
      <c r="E15" s="74">
        <v>4.02</v>
      </c>
      <c r="F15" s="72"/>
      <c r="G15" s="72"/>
      <c r="H15" s="75">
        <f t="shared" si="2"/>
        <v>410000</v>
      </c>
      <c r="I15" s="76">
        <f t="shared" si="3"/>
        <v>410000</v>
      </c>
      <c r="J15" s="101"/>
      <c r="K15" s="102"/>
      <c r="L15" s="102"/>
      <c r="M15" s="103"/>
      <c r="N15" s="104"/>
    </row>
    <row r="16" spans="1:9" s="81" customFormat="1" ht="18" customHeight="1">
      <c r="A16" s="378" t="s">
        <v>10</v>
      </c>
      <c r="B16" s="247">
        <v>12.9</v>
      </c>
      <c r="C16" s="72">
        <v>29</v>
      </c>
      <c r="D16" s="73">
        <v>38</v>
      </c>
      <c r="E16" s="88"/>
      <c r="F16" s="12"/>
      <c r="G16" s="12"/>
      <c r="H16" s="75">
        <f t="shared" si="2"/>
        <v>50000</v>
      </c>
      <c r="I16" s="76">
        <f t="shared" si="3"/>
        <v>50000</v>
      </c>
    </row>
    <row r="17" spans="1:18" s="81" customFormat="1" ht="18" customHeight="1">
      <c r="A17" s="378" t="s">
        <v>40</v>
      </c>
      <c r="B17" s="247">
        <v>21.4</v>
      </c>
      <c r="C17" s="72">
        <v>29</v>
      </c>
      <c r="D17" s="73">
        <v>39</v>
      </c>
      <c r="E17" s="88"/>
      <c r="F17" s="12"/>
      <c r="G17" s="12"/>
      <c r="H17" s="75">
        <f t="shared" si="2"/>
        <v>50000</v>
      </c>
      <c r="I17" s="76">
        <f t="shared" si="3"/>
        <v>50000</v>
      </c>
      <c r="O17" s="86"/>
      <c r="P17" s="86"/>
      <c r="Q17" s="86"/>
      <c r="R17" s="87"/>
    </row>
    <row r="18" spans="1:13" s="81" customFormat="1" ht="18" customHeight="1">
      <c r="A18" s="378"/>
      <c r="B18" s="247"/>
      <c r="C18" s="72"/>
      <c r="D18" s="73"/>
      <c r="E18" s="74"/>
      <c r="F18" s="72"/>
      <c r="G18" s="72"/>
      <c r="H18" s="75">
        <f t="shared" si="2"/>
        <v>0</v>
      </c>
      <c r="I18" s="76">
        <f t="shared" si="3"/>
        <v>0</v>
      </c>
      <c r="J18" s="87"/>
      <c r="K18" s="87"/>
      <c r="L18" s="87"/>
      <c r="M18" s="87"/>
    </row>
    <row r="19" spans="1:13" s="81" customFormat="1" ht="18" customHeight="1">
      <c r="A19" s="378"/>
      <c r="B19" s="247"/>
      <c r="C19" s="72"/>
      <c r="D19" s="73"/>
      <c r="E19" s="74"/>
      <c r="F19" s="72"/>
      <c r="G19" s="72"/>
      <c r="H19" s="75">
        <f t="shared" si="2"/>
        <v>0</v>
      </c>
      <c r="I19" s="76">
        <f t="shared" si="3"/>
        <v>0</v>
      </c>
      <c r="J19" s="87"/>
      <c r="K19" s="87"/>
      <c r="L19" s="87"/>
      <c r="M19" s="87"/>
    </row>
    <row r="20" spans="1:9" s="57" customFormat="1" ht="18" customHeight="1">
      <c r="A20" s="378"/>
      <c r="B20" s="247"/>
      <c r="C20" s="73"/>
      <c r="D20" s="73"/>
      <c r="E20" s="88"/>
      <c r="F20" s="12"/>
      <c r="G20" s="12"/>
      <c r="H20" s="75">
        <f t="shared" si="2"/>
        <v>0</v>
      </c>
      <c r="I20" s="76">
        <f t="shared" si="3"/>
        <v>0</v>
      </c>
    </row>
    <row r="21" spans="1:9" s="57" customFormat="1" ht="18" customHeight="1">
      <c r="A21" s="378"/>
      <c r="B21" s="247"/>
      <c r="C21" s="73"/>
      <c r="D21" s="92"/>
      <c r="E21" s="74"/>
      <c r="F21" s="12"/>
      <c r="G21" s="12"/>
      <c r="H21" s="75">
        <f t="shared" si="2"/>
        <v>0</v>
      </c>
      <c r="I21" s="76">
        <f t="shared" si="3"/>
        <v>0</v>
      </c>
    </row>
    <row r="22" spans="1:9" s="57" customFormat="1" ht="18" customHeight="1">
      <c r="A22" s="378"/>
      <c r="B22" s="247"/>
      <c r="C22" s="72"/>
      <c r="D22" s="73"/>
      <c r="E22" s="74"/>
      <c r="F22" s="12"/>
      <c r="G22" s="12"/>
      <c r="H22" s="75">
        <f t="shared" si="2"/>
        <v>0</v>
      </c>
      <c r="I22" s="76">
        <f t="shared" si="3"/>
        <v>0</v>
      </c>
    </row>
    <row r="23" spans="1:9" s="57" customFormat="1" ht="18" customHeight="1">
      <c r="A23" s="378"/>
      <c r="B23" s="247"/>
      <c r="C23" s="73"/>
      <c r="D23" s="73"/>
      <c r="E23" s="74"/>
      <c r="F23" s="12"/>
      <c r="G23" s="12"/>
      <c r="H23" s="75">
        <f t="shared" si="2"/>
        <v>0</v>
      </c>
      <c r="I23" s="76">
        <f t="shared" si="3"/>
        <v>0</v>
      </c>
    </row>
    <row r="24" spans="1:9" s="57" customFormat="1" ht="18" customHeight="1">
      <c r="A24" s="378"/>
      <c r="B24" s="247"/>
      <c r="C24" s="92"/>
      <c r="D24" s="92"/>
      <c r="E24" s="74"/>
      <c r="F24" s="12"/>
      <c r="G24" s="12"/>
      <c r="H24" s="75">
        <f t="shared" si="2"/>
        <v>0</v>
      </c>
      <c r="I24" s="76">
        <f t="shared" si="3"/>
        <v>0</v>
      </c>
    </row>
    <row r="25" spans="1:9" s="57" customFormat="1" ht="18" customHeight="1">
      <c r="A25" s="378"/>
      <c r="B25" s="247"/>
      <c r="C25" s="72"/>
      <c r="D25" s="92"/>
      <c r="E25" s="88"/>
      <c r="F25" s="12"/>
      <c r="G25" s="12"/>
      <c r="H25" s="75">
        <f t="shared" si="2"/>
        <v>0</v>
      </c>
      <c r="I25" s="76">
        <f t="shared" si="3"/>
        <v>0</v>
      </c>
    </row>
    <row r="26" spans="1:9" s="57" customFormat="1" ht="18" customHeight="1">
      <c r="A26" s="378"/>
      <c r="B26" s="247"/>
      <c r="C26" s="72"/>
      <c r="D26" s="73"/>
      <c r="E26" s="74"/>
      <c r="F26" s="72"/>
      <c r="G26" s="72"/>
      <c r="H26" s="75">
        <f t="shared" si="2"/>
        <v>0</v>
      </c>
      <c r="I26" s="76">
        <f t="shared" si="3"/>
        <v>0</v>
      </c>
    </row>
    <row r="27" spans="1:9" s="57" customFormat="1" ht="18" customHeight="1">
      <c r="A27" s="378"/>
      <c r="B27" s="247"/>
      <c r="C27" s="73"/>
      <c r="D27" s="73"/>
      <c r="E27" s="74"/>
      <c r="F27" s="72"/>
      <c r="G27" s="72"/>
      <c r="H27" s="75">
        <f t="shared" si="2"/>
        <v>0</v>
      </c>
      <c r="I27" s="76"/>
    </row>
    <row r="28" spans="1:9" s="57" customFormat="1" ht="18" customHeight="1">
      <c r="A28" s="378"/>
      <c r="B28" s="247"/>
      <c r="C28" s="72"/>
      <c r="D28" s="73"/>
      <c r="E28" s="88"/>
      <c r="F28" s="72"/>
      <c r="G28" s="72"/>
      <c r="H28" s="75">
        <f t="shared" si="2"/>
        <v>0</v>
      </c>
      <c r="I28" s="76">
        <f t="shared" si="3"/>
        <v>0</v>
      </c>
    </row>
    <row r="29" spans="1:9" ht="24" customHeight="1">
      <c r="A29" s="1"/>
      <c r="B29" s="3"/>
      <c r="C29" s="106"/>
      <c r="D29" s="107">
        <f>SUM(D4:D28)</f>
        <v>455</v>
      </c>
      <c r="E29" s="106"/>
      <c r="F29" s="3"/>
      <c r="G29" s="108">
        <f>SUM(G4:G28)</f>
        <v>39</v>
      </c>
      <c r="H29" s="108">
        <f>SUM(H4:H28)</f>
        <v>7060000</v>
      </c>
      <c r="I29" s="109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9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54" customWidth="1"/>
    <col min="2" max="2" width="7.8515625" style="55" customWidth="1"/>
    <col min="3" max="3" width="8.421875" style="56" customWidth="1"/>
    <col min="4" max="4" width="6.8515625" style="55" customWidth="1"/>
    <col min="5" max="5" width="8.140625" style="55" customWidth="1"/>
    <col min="6" max="6" width="10.140625" style="55" customWidth="1"/>
    <col min="7" max="7" width="9.140625" style="55" customWidth="1"/>
    <col min="8" max="8" width="13.421875" style="55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57" customFormat="1" ht="43.5" customHeight="1">
      <c r="B1" s="435" t="s">
        <v>107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</row>
    <row r="2" spans="2:14" s="57" customFormat="1" ht="29.25" customHeight="1">
      <c r="B2" s="444" t="s">
        <v>243</v>
      </c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</row>
    <row r="3" spans="1:14" s="70" customFormat="1" ht="27" customHeight="1">
      <c r="A3" s="59" t="s">
        <v>77</v>
      </c>
      <c r="B3" s="60" t="s">
        <v>78</v>
      </c>
      <c r="C3" s="60" t="s">
        <v>105</v>
      </c>
      <c r="D3" s="60" t="s">
        <v>80</v>
      </c>
      <c r="E3" s="60" t="s">
        <v>81</v>
      </c>
      <c r="F3" s="61" t="s">
        <v>82</v>
      </c>
      <c r="G3" s="62" t="s">
        <v>83</v>
      </c>
      <c r="H3" s="63" t="s">
        <v>84</v>
      </c>
      <c r="I3" s="64"/>
      <c r="J3" s="65" t="s">
        <v>82</v>
      </c>
      <c r="K3" s="66"/>
      <c r="L3" s="67"/>
      <c r="M3" s="68" t="s">
        <v>83</v>
      </c>
      <c r="N3" s="69" t="s">
        <v>85</v>
      </c>
    </row>
    <row r="4" spans="1:14" s="81" customFormat="1" ht="18" customHeight="1">
      <c r="A4" s="378" t="s">
        <v>148</v>
      </c>
      <c r="B4" s="247">
        <v>10.9</v>
      </c>
      <c r="C4" s="72">
        <v>71</v>
      </c>
      <c r="D4" s="73">
        <v>30</v>
      </c>
      <c r="E4" s="74"/>
      <c r="F4" s="72">
        <v>1</v>
      </c>
      <c r="G4" s="72">
        <v>10</v>
      </c>
      <c r="H4" s="75">
        <f aca="true" t="shared" si="0" ref="H4:H11">N4+I4</f>
        <v>2050000</v>
      </c>
      <c r="I4" s="76">
        <f aca="true" t="shared" si="1" ref="I4:I11">IF(E4&gt;0,$N$13,0)+IF(C4&gt;0,50000,0)+IF(C12&lt;0,50000,0)</f>
        <v>50000</v>
      </c>
      <c r="J4" s="77" t="s">
        <v>86</v>
      </c>
      <c r="K4" s="78"/>
      <c r="L4" s="79"/>
      <c r="M4" s="80">
        <v>10</v>
      </c>
      <c r="N4" s="75">
        <f>N12*25%</f>
        <v>2000000</v>
      </c>
    </row>
    <row r="5" spans="1:14" s="81" customFormat="1" ht="18" customHeight="1">
      <c r="A5" s="378" t="s">
        <v>44</v>
      </c>
      <c r="B5" s="247">
        <v>16.4</v>
      </c>
      <c r="C5" s="72">
        <v>71</v>
      </c>
      <c r="D5" s="73">
        <v>30</v>
      </c>
      <c r="E5" s="74"/>
      <c r="F5" s="72">
        <v>2</v>
      </c>
      <c r="G5" s="72">
        <v>8</v>
      </c>
      <c r="H5" s="75">
        <f t="shared" si="0"/>
        <v>1650000</v>
      </c>
      <c r="I5" s="76">
        <f t="shared" si="1"/>
        <v>50000</v>
      </c>
      <c r="J5" s="82" t="s">
        <v>87</v>
      </c>
      <c r="K5" s="83"/>
      <c r="L5" s="84"/>
      <c r="M5" s="85">
        <v>8</v>
      </c>
      <c r="N5" s="75">
        <f>N12*20%</f>
        <v>1600000</v>
      </c>
    </row>
    <row r="6" spans="1:17" s="81" customFormat="1" ht="18" customHeight="1">
      <c r="A6" s="378" t="s">
        <v>48</v>
      </c>
      <c r="B6" s="247">
        <v>9</v>
      </c>
      <c r="C6" s="72">
        <v>72</v>
      </c>
      <c r="D6" s="73">
        <v>32</v>
      </c>
      <c r="E6" s="74"/>
      <c r="F6" s="12">
        <v>3</v>
      </c>
      <c r="G6" s="12">
        <v>6</v>
      </c>
      <c r="H6" s="75">
        <f t="shared" si="0"/>
        <v>1250000</v>
      </c>
      <c r="I6" s="76">
        <f t="shared" si="1"/>
        <v>50000</v>
      </c>
      <c r="J6" s="82" t="s">
        <v>88</v>
      </c>
      <c r="K6" s="83"/>
      <c r="L6" s="84"/>
      <c r="M6" s="85">
        <v>6</v>
      </c>
      <c r="N6" s="75">
        <f>N12*15%</f>
        <v>1200000</v>
      </c>
      <c r="Q6" s="115"/>
    </row>
    <row r="7" spans="1:18" s="81" customFormat="1" ht="18" customHeight="1">
      <c r="A7" s="378" t="s">
        <v>22</v>
      </c>
      <c r="B7" s="247">
        <v>12.1</v>
      </c>
      <c r="C7" s="92">
        <v>72</v>
      </c>
      <c r="D7" s="92">
        <v>30</v>
      </c>
      <c r="E7" s="74"/>
      <c r="F7" s="72">
        <v>4</v>
      </c>
      <c r="G7" s="72">
        <v>5</v>
      </c>
      <c r="H7" s="75">
        <f t="shared" si="0"/>
        <v>1010000</v>
      </c>
      <c r="I7" s="76">
        <f t="shared" si="1"/>
        <v>50000</v>
      </c>
      <c r="J7" s="82" t="s">
        <v>89</v>
      </c>
      <c r="K7" s="83"/>
      <c r="L7" s="84"/>
      <c r="M7" s="85">
        <v>5</v>
      </c>
      <c r="N7" s="75">
        <f>N12*12%</f>
        <v>960000</v>
      </c>
      <c r="O7" s="86"/>
      <c r="P7" s="86"/>
      <c r="Q7" s="86"/>
      <c r="R7" s="87"/>
    </row>
    <row r="8" spans="1:14" s="81" customFormat="1" ht="18" customHeight="1">
      <c r="A8" s="378" t="s">
        <v>28</v>
      </c>
      <c r="B8" s="247">
        <v>12.1</v>
      </c>
      <c r="C8" s="72">
        <v>74</v>
      </c>
      <c r="D8" s="92">
        <v>30</v>
      </c>
      <c r="E8" s="74"/>
      <c r="F8" s="72">
        <v>5</v>
      </c>
      <c r="G8" s="72">
        <v>4</v>
      </c>
      <c r="H8" s="75">
        <f t="shared" si="0"/>
        <v>850000</v>
      </c>
      <c r="I8" s="76">
        <f t="shared" si="1"/>
        <v>50000</v>
      </c>
      <c r="J8" s="82" t="s">
        <v>90</v>
      </c>
      <c r="K8" s="83"/>
      <c r="L8" s="84"/>
      <c r="M8" s="85">
        <v>4</v>
      </c>
      <c r="N8" s="75">
        <f>N12*10%</f>
        <v>800000</v>
      </c>
    </row>
    <row r="9" spans="1:14" s="81" customFormat="1" ht="18" customHeight="1">
      <c r="A9" s="378" t="s">
        <v>18</v>
      </c>
      <c r="B9" s="247">
        <v>14.8</v>
      </c>
      <c r="C9" s="72">
        <v>74</v>
      </c>
      <c r="D9" s="73">
        <v>32</v>
      </c>
      <c r="E9" s="74">
        <v>3.62</v>
      </c>
      <c r="F9" s="89">
        <v>6</v>
      </c>
      <c r="G9" s="89">
        <v>3</v>
      </c>
      <c r="H9" s="75">
        <f t="shared" si="0"/>
        <v>1170000</v>
      </c>
      <c r="I9" s="76">
        <f t="shared" si="1"/>
        <v>530000</v>
      </c>
      <c r="J9" s="82" t="s">
        <v>91</v>
      </c>
      <c r="K9" s="83"/>
      <c r="L9" s="84"/>
      <c r="M9" s="85">
        <v>3</v>
      </c>
      <c r="N9" s="75">
        <f>N12*8%</f>
        <v>640000</v>
      </c>
    </row>
    <row r="10" spans="1:14" s="81" customFormat="1" ht="18" customHeight="1">
      <c r="A10" s="378" t="s">
        <v>12</v>
      </c>
      <c r="B10" s="247">
        <v>16.5</v>
      </c>
      <c r="C10" s="72">
        <v>75</v>
      </c>
      <c r="D10" s="73">
        <v>31</v>
      </c>
      <c r="E10" s="74"/>
      <c r="F10" s="72">
        <v>7</v>
      </c>
      <c r="G10" s="72">
        <v>2</v>
      </c>
      <c r="H10" s="75">
        <f t="shared" si="0"/>
        <v>530000</v>
      </c>
      <c r="I10" s="76">
        <f t="shared" si="1"/>
        <v>50000</v>
      </c>
      <c r="J10" s="82" t="s">
        <v>92</v>
      </c>
      <c r="K10" s="83"/>
      <c r="L10" s="84"/>
      <c r="M10" s="85">
        <v>2</v>
      </c>
      <c r="N10" s="75">
        <f>N12*6%</f>
        <v>480000</v>
      </c>
    </row>
    <row r="11" spans="1:17" s="81" customFormat="1" ht="18" customHeight="1">
      <c r="A11" s="378" t="s">
        <v>46</v>
      </c>
      <c r="B11" s="247">
        <v>21.2</v>
      </c>
      <c r="C11" s="73">
        <v>76</v>
      </c>
      <c r="D11" s="92">
        <v>32</v>
      </c>
      <c r="E11" s="74"/>
      <c r="F11" s="72">
        <v>8</v>
      </c>
      <c r="G11" s="72">
        <v>1</v>
      </c>
      <c r="H11" s="75">
        <f t="shared" si="0"/>
        <v>370000</v>
      </c>
      <c r="I11" s="76">
        <f t="shared" si="1"/>
        <v>50000</v>
      </c>
      <c r="J11" s="82" t="s">
        <v>93</v>
      </c>
      <c r="K11" s="83"/>
      <c r="L11" s="84"/>
      <c r="M11" s="85">
        <v>1</v>
      </c>
      <c r="N11" s="75">
        <f>N12*4%</f>
        <v>320000</v>
      </c>
      <c r="Q11" s="115"/>
    </row>
    <row r="12" spans="1:14" s="81" customFormat="1" ht="18" customHeight="1">
      <c r="A12" s="378" t="s">
        <v>52</v>
      </c>
      <c r="B12" s="247">
        <v>12.5</v>
      </c>
      <c r="C12" s="73">
        <v>77</v>
      </c>
      <c r="D12" s="92">
        <v>28</v>
      </c>
      <c r="E12" s="74"/>
      <c r="F12" s="72"/>
      <c r="G12" s="72"/>
      <c r="H12" s="75">
        <f aca="true" t="shared" si="2" ref="H12:H28">I12</f>
        <v>50000</v>
      </c>
      <c r="I12" s="76">
        <f aca="true" t="shared" si="3" ref="I12:I28">IF(E12&gt;0,$N$13,0)+IF(C12&gt;0,50000,0)+IF(C12&lt;0,50000,0)</f>
        <v>50000</v>
      </c>
      <c r="J12" s="90" t="s">
        <v>94</v>
      </c>
      <c r="K12" s="83"/>
      <c r="L12" s="84"/>
      <c r="M12" s="85"/>
      <c r="N12" s="91">
        <v>8000000</v>
      </c>
    </row>
    <row r="13" spans="1:14" s="81" customFormat="1" ht="18" customHeight="1">
      <c r="A13" s="378" t="s">
        <v>50</v>
      </c>
      <c r="B13" s="247">
        <v>24.3</v>
      </c>
      <c r="C13" s="73">
        <v>77</v>
      </c>
      <c r="D13" s="92">
        <v>33</v>
      </c>
      <c r="E13" s="74"/>
      <c r="F13" s="72"/>
      <c r="G13" s="72"/>
      <c r="H13" s="75">
        <f t="shared" si="2"/>
        <v>50000</v>
      </c>
      <c r="I13" s="76">
        <f t="shared" si="3"/>
        <v>50000</v>
      </c>
      <c r="J13" s="93" t="s">
        <v>95</v>
      </c>
      <c r="K13" s="94"/>
      <c r="L13" s="95"/>
      <c r="M13" s="96">
        <v>1</v>
      </c>
      <c r="N13" s="97">
        <f>N10</f>
        <v>480000</v>
      </c>
    </row>
    <row r="14" spans="1:14" s="81" customFormat="1" ht="18" customHeight="1">
      <c r="A14" s="378" t="s">
        <v>10</v>
      </c>
      <c r="B14" s="247">
        <v>12.8</v>
      </c>
      <c r="C14" s="92">
        <v>78</v>
      </c>
      <c r="D14" s="73">
        <v>33</v>
      </c>
      <c r="E14" s="74"/>
      <c r="F14" s="72"/>
      <c r="G14" s="72"/>
      <c r="H14" s="75">
        <f t="shared" si="2"/>
        <v>50000</v>
      </c>
      <c r="I14" s="76">
        <f t="shared" si="3"/>
        <v>50000</v>
      </c>
      <c r="J14" s="98"/>
      <c r="K14" s="94"/>
      <c r="L14" s="94"/>
      <c r="M14" s="99"/>
      <c r="N14" s="100"/>
    </row>
    <row r="15" spans="1:14" s="81" customFormat="1" ht="18" customHeight="1">
      <c r="A15" s="378" t="s">
        <v>42</v>
      </c>
      <c r="B15" s="247">
        <v>20</v>
      </c>
      <c r="C15" s="73">
        <v>78</v>
      </c>
      <c r="D15" s="73">
        <v>31</v>
      </c>
      <c r="E15" s="74"/>
      <c r="F15" s="72"/>
      <c r="G15" s="72"/>
      <c r="H15" s="75">
        <f t="shared" si="2"/>
        <v>50000</v>
      </c>
      <c r="I15" s="76">
        <f t="shared" si="3"/>
        <v>50000</v>
      </c>
      <c r="J15" s="101"/>
      <c r="K15" s="102"/>
      <c r="L15" s="102"/>
      <c r="M15" s="103"/>
      <c r="N15" s="104"/>
    </row>
    <row r="16" spans="1:9" s="81" customFormat="1" ht="18" customHeight="1">
      <c r="A16" s="378" t="s">
        <v>30</v>
      </c>
      <c r="B16" s="247">
        <v>9.8</v>
      </c>
      <c r="C16" s="72">
        <v>79</v>
      </c>
      <c r="D16" s="73">
        <v>30</v>
      </c>
      <c r="E16" s="74"/>
      <c r="F16" s="12"/>
      <c r="G16" s="12"/>
      <c r="H16" s="75">
        <f t="shared" si="2"/>
        <v>50000</v>
      </c>
      <c r="I16" s="76">
        <f t="shared" si="3"/>
        <v>50000</v>
      </c>
    </row>
    <row r="17" spans="1:18" s="81" customFormat="1" ht="18" customHeight="1">
      <c r="A17" s="378" t="s">
        <v>38</v>
      </c>
      <c r="B17" s="247">
        <v>14.3</v>
      </c>
      <c r="C17" s="73">
        <v>80</v>
      </c>
      <c r="D17" s="73">
        <v>31</v>
      </c>
      <c r="E17" s="88"/>
      <c r="F17" s="12"/>
      <c r="G17" s="12"/>
      <c r="H17" s="75">
        <f t="shared" si="2"/>
        <v>50000</v>
      </c>
      <c r="I17" s="76">
        <f t="shared" si="3"/>
        <v>50000</v>
      </c>
      <c r="O17" s="86"/>
      <c r="P17" s="86"/>
      <c r="Q17" s="86"/>
      <c r="R17" s="87"/>
    </row>
    <row r="18" spans="1:13" s="81" customFormat="1" ht="18" customHeight="1">
      <c r="A18" s="378" t="s">
        <v>40</v>
      </c>
      <c r="B18" s="247">
        <v>21.3</v>
      </c>
      <c r="C18" s="72">
        <v>83</v>
      </c>
      <c r="D18" s="73">
        <v>39</v>
      </c>
      <c r="E18" s="74"/>
      <c r="F18" s="72"/>
      <c r="G18" s="72"/>
      <c r="H18" s="75">
        <f t="shared" si="2"/>
        <v>50000</v>
      </c>
      <c r="I18" s="76">
        <f t="shared" si="3"/>
        <v>50000</v>
      </c>
      <c r="J18" s="87"/>
      <c r="K18" s="87"/>
      <c r="L18" s="87"/>
      <c r="M18" s="87"/>
    </row>
    <row r="19" spans="1:13" s="81" customFormat="1" ht="18" customHeight="1">
      <c r="A19" s="378"/>
      <c r="B19" s="247"/>
      <c r="C19" s="72"/>
      <c r="D19" s="73"/>
      <c r="E19" s="74"/>
      <c r="F19" s="72"/>
      <c r="G19" s="72"/>
      <c r="H19" s="75">
        <f t="shared" si="2"/>
        <v>0</v>
      </c>
      <c r="I19" s="76">
        <f t="shared" si="3"/>
        <v>0</v>
      </c>
      <c r="J19" s="87"/>
      <c r="K19" s="87"/>
      <c r="L19" s="87"/>
      <c r="M19" s="87"/>
    </row>
    <row r="20" spans="1:9" s="57" customFormat="1" ht="18" customHeight="1">
      <c r="A20" s="378"/>
      <c r="B20" s="247"/>
      <c r="C20" s="72"/>
      <c r="D20" s="73"/>
      <c r="E20" s="74"/>
      <c r="F20" s="12"/>
      <c r="G20" s="12"/>
      <c r="H20" s="75">
        <f t="shared" si="2"/>
        <v>0</v>
      </c>
      <c r="I20" s="76">
        <f t="shared" si="3"/>
        <v>0</v>
      </c>
    </row>
    <row r="21" spans="1:9" s="57" customFormat="1" ht="18" customHeight="1">
      <c r="A21" s="378"/>
      <c r="B21" s="247"/>
      <c r="C21" s="72"/>
      <c r="D21" s="73"/>
      <c r="E21" s="74"/>
      <c r="F21" s="12"/>
      <c r="G21" s="12"/>
      <c r="H21" s="75">
        <f t="shared" si="2"/>
        <v>0</v>
      </c>
      <c r="I21" s="76">
        <f t="shared" si="3"/>
        <v>0</v>
      </c>
    </row>
    <row r="22" spans="1:9" s="57" customFormat="1" ht="18" customHeight="1">
      <c r="A22" s="378"/>
      <c r="B22" s="247"/>
      <c r="C22" s="72"/>
      <c r="D22" s="73"/>
      <c r="E22" s="74"/>
      <c r="F22" s="12"/>
      <c r="G22" s="12"/>
      <c r="H22" s="75">
        <f t="shared" si="2"/>
        <v>0</v>
      </c>
      <c r="I22" s="76">
        <f t="shared" si="3"/>
        <v>0</v>
      </c>
    </row>
    <row r="23" spans="1:9" s="57" customFormat="1" ht="18" customHeight="1">
      <c r="A23" s="378"/>
      <c r="B23" s="247"/>
      <c r="C23" s="92"/>
      <c r="D23" s="73"/>
      <c r="E23" s="74"/>
      <c r="F23" s="12"/>
      <c r="G23" s="12"/>
      <c r="H23" s="75">
        <f t="shared" si="2"/>
        <v>0</v>
      </c>
      <c r="I23" s="76">
        <f t="shared" si="3"/>
        <v>0</v>
      </c>
    </row>
    <row r="24" spans="1:9" s="57" customFormat="1" ht="18" customHeight="1">
      <c r="A24" s="378"/>
      <c r="B24" s="247"/>
      <c r="C24" s="73"/>
      <c r="D24" s="92"/>
      <c r="E24" s="74"/>
      <c r="F24" s="12"/>
      <c r="G24" s="12"/>
      <c r="H24" s="75">
        <f t="shared" si="2"/>
        <v>0</v>
      </c>
      <c r="I24" s="76">
        <f t="shared" si="3"/>
        <v>0</v>
      </c>
    </row>
    <row r="25" spans="1:9" s="57" customFormat="1" ht="18" customHeight="1">
      <c r="A25" s="378"/>
      <c r="B25" s="247"/>
      <c r="C25" s="72"/>
      <c r="D25" s="73"/>
      <c r="E25" s="74"/>
      <c r="F25" s="12"/>
      <c r="G25" s="12"/>
      <c r="H25" s="75">
        <f t="shared" si="2"/>
        <v>0</v>
      </c>
      <c r="I25" s="76">
        <f t="shared" si="3"/>
        <v>0</v>
      </c>
    </row>
    <row r="26" spans="1:9" s="57" customFormat="1" ht="18" customHeight="1">
      <c r="A26" s="378"/>
      <c r="B26" s="247"/>
      <c r="C26" s="72"/>
      <c r="D26" s="73"/>
      <c r="E26" s="74"/>
      <c r="F26" s="12"/>
      <c r="G26" s="12"/>
      <c r="H26" s="75">
        <f t="shared" si="2"/>
        <v>0</v>
      </c>
      <c r="I26" s="76">
        <f t="shared" si="3"/>
        <v>0</v>
      </c>
    </row>
    <row r="27" spans="1:9" s="57" customFormat="1" ht="18" customHeight="1">
      <c r="A27" s="378"/>
      <c r="B27" s="247"/>
      <c r="C27" s="72"/>
      <c r="D27" s="92"/>
      <c r="E27" s="74"/>
      <c r="F27" s="72"/>
      <c r="G27" s="72"/>
      <c r="H27" s="75">
        <f t="shared" si="2"/>
        <v>0</v>
      </c>
      <c r="I27" s="76">
        <f t="shared" si="3"/>
        <v>0</v>
      </c>
    </row>
    <row r="28" spans="1:9" s="57" customFormat="1" ht="18" customHeight="1">
      <c r="A28" s="152"/>
      <c r="B28" s="186"/>
      <c r="C28" s="72"/>
      <c r="D28" s="92"/>
      <c r="E28" s="74"/>
      <c r="F28" s="72"/>
      <c r="G28" s="72"/>
      <c r="H28" s="75">
        <f t="shared" si="2"/>
        <v>0</v>
      </c>
      <c r="I28" s="76">
        <f t="shared" si="3"/>
        <v>0</v>
      </c>
    </row>
    <row r="29" spans="1:9" ht="24" customHeight="1">
      <c r="A29" s="1"/>
      <c r="B29" s="3"/>
      <c r="C29" s="106"/>
      <c r="D29" s="107">
        <f>SUM(D4:D28)</f>
        <v>472</v>
      </c>
      <c r="E29" s="106"/>
      <c r="F29" s="3"/>
      <c r="G29" s="108">
        <f>SUM(G4:G28)</f>
        <v>39</v>
      </c>
      <c r="H29" s="108">
        <f>SUM(H4:H28)</f>
        <v>9230000</v>
      </c>
      <c r="I29" s="109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54" customWidth="1"/>
    <col min="2" max="2" width="7.8515625" style="55" customWidth="1"/>
    <col min="3" max="3" width="8.421875" style="56" customWidth="1"/>
    <col min="4" max="4" width="6.8515625" style="55" customWidth="1"/>
    <col min="5" max="5" width="8.140625" style="55" customWidth="1"/>
    <col min="6" max="6" width="10.140625" style="55" customWidth="1"/>
    <col min="7" max="7" width="9.140625" style="55" customWidth="1"/>
    <col min="8" max="8" width="13.421875" style="55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57" customFormat="1" ht="43.5" customHeight="1">
      <c r="B1" s="435" t="s">
        <v>232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</row>
    <row r="2" spans="2:14" s="57" customFormat="1" ht="29.25" customHeight="1">
      <c r="B2" s="444" t="s">
        <v>233</v>
      </c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</row>
    <row r="3" spans="1:14" s="70" customFormat="1" ht="27" customHeight="1">
      <c r="A3" s="59" t="s">
        <v>77</v>
      </c>
      <c r="B3" s="60" t="s">
        <v>78</v>
      </c>
      <c r="C3" s="60" t="s">
        <v>83</v>
      </c>
      <c r="D3" s="60" t="s">
        <v>80</v>
      </c>
      <c r="E3" s="60" t="s">
        <v>81</v>
      </c>
      <c r="F3" s="61" t="s">
        <v>82</v>
      </c>
      <c r="G3" s="62" t="s">
        <v>83</v>
      </c>
      <c r="H3" s="63" t="s">
        <v>84</v>
      </c>
      <c r="I3" s="64"/>
      <c r="J3" s="65" t="s">
        <v>82</v>
      </c>
      <c r="K3" s="66"/>
      <c r="L3" s="67"/>
      <c r="M3" s="68" t="s">
        <v>83</v>
      </c>
      <c r="N3" s="69" t="s">
        <v>85</v>
      </c>
    </row>
    <row r="4" spans="1:14" s="81" customFormat="1" ht="18" customHeight="1">
      <c r="A4" s="378" t="s">
        <v>48</v>
      </c>
      <c r="B4" s="247">
        <v>8.7</v>
      </c>
      <c r="C4" s="72">
        <v>40</v>
      </c>
      <c r="D4" s="73">
        <v>29</v>
      </c>
      <c r="E4" s="74"/>
      <c r="F4" s="72">
        <v>1</v>
      </c>
      <c r="G4" s="72">
        <v>10</v>
      </c>
      <c r="H4" s="75">
        <f aca="true" t="shared" si="0" ref="H4:H11">N4+I4</f>
        <v>1300000</v>
      </c>
      <c r="I4" s="76">
        <f>IF(E4&gt;0,$N$13,0)+IF(C4&gt;0,50000,0)+IF(C12&lt;0,50000,0)</f>
        <v>50000</v>
      </c>
      <c r="J4" s="77" t="s">
        <v>86</v>
      </c>
      <c r="K4" s="78"/>
      <c r="L4" s="79"/>
      <c r="M4" s="80">
        <v>10</v>
      </c>
      <c r="N4" s="75">
        <f>N12*25%</f>
        <v>1250000</v>
      </c>
    </row>
    <row r="5" spans="1:14" s="81" customFormat="1" ht="18" customHeight="1">
      <c r="A5" s="378" t="s">
        <v>14</v>
      </c>
      <c r="B5" s="247">
        <v>12.4</v>
      </c>
      <c r="C5" s="92">
        <v>35</v>
      </c>
      <c r="D5" s="73">
        <v>32</v>
      </c>
      <c r="E5" s="74"/>
      <c r="F5" s="72">
        <v>2</v>
      </c>
      <c r="G5" s="72">
        <v>8</v>
      </c>
      <c r="H5" s="75">
        <f t="shared" si="0"/>
        <v>1050000</v>
      </c>
      <c r="I5" s="76">
        <f aca="true" t="shared" si="1" ref="I5:I11">IF(E5&gt;0,$N$13,0)+IF(C5&gt;0,50000,0)+IF(C13&lt;0,50000,0)</f>
        <v>50000</v>
      </c>
      <c r="J5" s="82" t="s">
        <v>87</v>
      </c>
      <c r="K5" s="83"/>
      <c r="L5" s="84"/>
      <c r="M5" s="85">
        <v>8</v>
      </c>
      <c r="N5" s="75">
        <f>N12*20%</f>
        <v>1000000</v>
      </c>
    </row>
    <row r="6" spans="1:14" s="81" customFormat="1" ht="18" customHeight="1">
      <c r="A6" s="378" t="s">
        <v>30</v>
      </c>
      <c r="B6" s="247">
        <v>9.6</v>
      </c>
      <c r="C6" s="72">
        <v>34</v>
      </c>
      <c r="D6" s="73">
        <v>29</v>
      </c>
      <c r="E6" s="74" t="s">
        <v>162</v>
      </c>
      <c r="F6" s="12">
        <v>3</v>
      </c>
      <c r="G6" s="12">
        <v>6</v>
      </c>
      <c r="H6" s="75">
        <f t="shared" si="0"/>
        <v>1100000</v>
      </c>
      <c r="I6" s="76">
        <f t="shared" si="1"/>
        <v>350000</v>
      </c>
      <c r="J6" s="82" t="s">
        <v>88</v>
      </c>
      <c r="K6" s="83"/>
      <c r="L6" s="84"/>
      <c r="M6" s="85">
        <v>6</v>
      </c>
      <c r="N6" s="75">
        <f>N12*15%</f>
        <v>750000</v>
      </c>
    </row>
    <row r="7" spans="1:18" s="81" customFormat="1" ht="18" customHeight="1">
      <c r="A7" s="378" t="s">
        <v>10</v>
      </c>
      <c r="B7" s="247">
        <v>12.8</v>
      </c>
      <c r="C7" s="12">
        <v>33</v>
      </c>
      <c r="D7" s="92">
        <v>26</v>
      </c>
      <c r="E7" s="88"/>
      <c r="F7" s="72">
        <v>4</v>
      </c>
      <c r="G7" s="72">
        <v>5</v>
      </c>
      <c r="H7" s="75">
        <f t="shared" si="0"/>
        <v>650000</v>
      </c>
      <c r="I7" s="76">
        <f t="shared" si="1"/>
        <v>50000</v>
      </c>
      <c r="J7" s="82" t="s">
        <v>89</v>
      </c>
      <c r="K7" s="83"/>
      <c r="L7" s="84"/>
      <c r="M7" s="85">
        <v>5</v>
      </c>
      <c r="N7" s="75">
        <f>N12*12%</f>
        <v>600000</v>
      </c>
      <c r="O7" s="86"/>
      <c r="P7" s="86"/>
      <c r="Q7" s="86"/>
      <c r="R7" s="87"/>
    </row>
    <row r="8" spans="1:14" s="81" customFormat="1" ht="18" customHeight="1">
      <c r="A8" s="378" t="s">
        <v>42</v>
      </c>
      <c r="B8" s="247">
        <v>19.9</v>
      </c>
      <c r="C8" s="72">
        <v>30</v>
      </c>
      <c r="D8" s="73">
        <v>31</v>
      </c>
      <c r="E8" s="74"/>
      <c r="F8" s="72">
        <v>5</v>
      </c>
      <c r="G8" s="72">
        <v>4</v>
      </c>
      <c r="H8" s="75">
        <f t="shared" si="0"/>
        <v>550000</v>
      </c>
      <c r="I8" s="76">
        <f t="shared" si="1"/>
        <v>50000</v>
      </c>
      <c r="J8" s="82" t="s">
        <v>90</v>
      </c>
      <c r="K8" s="83"/>
      <c r="L8" s="84"/>
      <c r="M8" s="85">
        <v>4</v>
      </c>
      <c r="N8" s="75">
        <f>N12*10%</f>
        <v>500000</v>
      </c>
    </row>
    <row r="9" spans="1:14" s="81" customFormat="1" ht="18" customHeight="1">
      <c r="A9" s="378" t="s">
        <v>34</v>
      </c>
      <c r="B9" s="247">
        <v>14.9</v>
      </c>
      <c r="C9" s="73">
        <v>29</v>
      </c>
      <c r="D9" s="92">
        <v>36</v>
      </c>
      <c r="E9" s="88"/>
      <c r="F9" s="89">
        <v>6</v>
      </c>
      <c r="G9" s="89">
        <v>3</v>
      </c>
      <c r="H9" s="75">
        <f t="shared" si="0"/>
        <v>450000</v>
      </c>
      <c r="I9" s="76">
        <f>IF(E9&gt;0,$N$13,0)+IF(C9&gt;0,50000,0)+IF(C17&lt;0,50000,0)</f>
        <v>50000</v>
      </c>
      <c r="J9" s="82" t="s">
        <v>91</v>
      </c>
      <c r="K9" s="83"/>
      <c r="L9" s="84"/>
      <c r="M9" s="85">
        <v>3</v>
      </c>
      <c r="N9" s="75">
        <f>N12*8%</f>
        <v>400000</v>
      </c>
    </row>
    <row r="10" spans="1:14" s="81" customFormat="1" ht="18" customHeight="1">
      <c r="A10" s="378" t="s">
        <v>28</v>
      </c>
      <c r="B10" s="247">
        <v>12</v>
      </c>
      <c r="C10" s="72">
        <v>28</v>
      </c>
      <c r="D10" s="73">
        <v>32</v>
      </c>
      <c r="E10" s="74" t="s">
        <v>236</v>
      </c>
      <c r="F10" s="72">
        <v>7</v>
      </c>
      <c r="G10" s="72">
        <v>2</v>
      </c>
      <c r="H10" s="75">
        <v>950000</v>
      </c>
      <c r="I10" s="76">
        <f>IF(E10&gt;0,$N$13,0)+IF(C10&gt;0,50000,0)+IF(C18&lt;0,50000,0)</f>
        <v>350000</v>
      </c>
      <c r="J10" s="82" t="s">
        <v>92</v>
      </c>
      <c r="K10" s="83"/>
      <c r="L10" s="84"/>
      <c r="M10" s="85">
        <v>2</v>
      </c>
      <c r="N10" s="75">
        <f>N12*6%</f>
        <v>300000</v>
      </c>
    </row>
    <row r="11" spans="1:14" s="81" customFormat="1" ht="18" customHeight="1">
      <c r="A11" s="378" t="s">
        <v>18</v>
      </c>
      <c r="B11" s="247">
        <v>14.7</v>
      </c>
      <c r="C11" s="72">
        <v>26</v>
      </c>
      <c r="D11" s="92">
        <v>33</v>
      </c>
      <c r="E11" s="88"/>
      <c r="F11" s="72">
        <v>8</v>
      </c>
      <c r="G11" s="72">
        <v>1</v>
      </c>
      <c r="H11" s="75">
        <f t="shared" si="0"/>
        <v>250000</v>
      </c>
      <c r="I11" s="76">
        <f t="shared" si="1"/>
        <v>50000</v>
      </c>
      <c r="J11" s="82" t="s">
        <v>93</v>
      </c>
      <c r="K11" s="83"/>
      <c r="L11" s="84"/>
      <c r="M11" s="85">
        <v>1</v>
      </c>
      <c r="N11" s="75">
        <f>N12*4%</f>
        <v>200000</v>
      </c>
    </row>
    <row r="12" spans="1:14" s="81" customFormat="1" ht="18" customHeight="1">
      <c r="A12" s="378" t="s">
        <v>40</v>
      </c>
      <c r="B12" s="247">
        <v>21.2</v>
      </c>
      <c r="C12" s="72">
        <v>26</v>
      </c>
      <c r="D12" s="92">
        <v>34</v>
      </c>
      <c r="E12" s="88"/>
      <c r="F12" s="72"/>
      <c r="G12" s="72"/>
      <c r="H12" s="75">
        <f aca="true" t="shared" si="2" ref="H12:H20">I12</f>
        <v>50000</v>
      </c>
      <c r="I12" s="76">
        <f>IF(E12&gt;0,$N$13,0)+IF(C12&gt;0,50000,0)+IF(C12&lt;0,50000,0)</f>
        <v>50000</v>
      </c>
      <c r="J12" s="90" t="s">
        <v>94</v>
      </c>
      <c r="K12" s="83"/>
      <c r="L12" s="84"/>
      <c r="M12" s="85"/>
      <c r="N12" s="91">
        <v>5000000</v>
      </c>
    </row>
    <row r="13" spans="1:14" s="81" customFormat="1" ht="18" customHeight="1">
      <c r="A13" s="378" t="s">
        <v>32</v>
      </c>
      <c r="B13" s="247">
        <v>14</v>
      </c>
      <c r="C13" s="72">
        <v>25</v>
      </c>
      <c r="D13" s="92">
        <v>39</v>
      </c>
      <c r="E13" s="74">
        <v>3.26</v>
      </c>
      <c r="F13" s="72"/>
      <c r="G13" s="72"/>
      <c r="H13" s="75">
        <f t="shared" si="2"/>
        <v>350000</v>
      </c>
      <c r="I13" s="76">
        <f aca="true" t="shared" si="3" ref="I13:I27">IF(E13&gt;0,$N$13,0)+IF(C13&gt;0,50000,0)+IF(C13&lt;0,50000,0)</f>
        <v>350000</v>
      </c>
      <c r="J13" s="93" t="s">
        <v>95</v>
      </c>
      <c r="K13" s="94"/>
      <c r="L13" s="95"/>
      <c r="M13" s="96">
        <v>1</v>
      </c>
      <c r="N13" s="97">
        <f>N10</f>
        <v>300000</v>
      </c>
    </row>
    <row r="14" spans="1:14" s="81" customFormat="1" ht="18" customHeight="1">
      <c r="A14" s="378" t="s">
        <v>12</v>
      </c>
      <c r="B14" s="247">
        <v>16.5</v>
      </c>
      <c r="C14" s="73">
        <v>25</v>
      </c>
      <c r="D14" s="73">
        <v>35</v>
      </c>
      <c r="E14" s="74"/>
      <c r="F14" s="72"/>
      <c r="G14" s="72"/>
      <c r="H14" s="75">
        <f t="shared" si="2"/>
        <v>50000</v>
      </c>
      <c r="I14" s="76">
        <f t="shared" si="3"/>
        <v>50000</v>
      </c>
      <c r="J14" s="98"/>
      <c r="K14" s="94"/>
      <c r="L14" s="94"/>
      <c r="M14" s="99"/>
      <c r="N14" s="100"/>
    </row>
    <row r="15" spans="1:14" s="81" customFormat="1" ht="18" customHeight="1">
      <c r="A15" s="378" t="s">
        <v>38</v>
      </c>
      <c r="B15" s="247">
        <v>14.2</v>
      </c>
      <c r="C15" s="73">
        <v>24</v>
      </c>
      <c r="D15" s="73">
        <v>40</v>
      </c>
      <c r="E15" s="74">
        <v>5.68</v>
      </c>
      <c r="F15" s="72"/>
      <c r="G15" s="72"/>
      <c r="H15" s="75">
        <f t="shared" si="2"/>
        <v>350000</v>
      </c>
      <c r="I15" s="76">
        <f t="shared" si="3"/>
        <v>350000</v>
      </c>
      <c r="J15" s="101"/>
      <c r="K15" s="102"/>
      <c r="L15" s="102"/>
      <c r="M15" s="103"/>
      <c r="N15" s="104"/>
    </row>
    <row r="16" spans="1:9" s="81" customFormat="1" ht="18" customHeight="1">
      <c r="A16" s="378" t="s">
        <v>166</v>
      </c>
      <c r="B16" s="247">
        <v>14.6</v>
      </c>
      <c r="C16" s="72">
        <v>24</v>
      </c>
      <c r="D16" s="92">
        <v>39</v>
      </c>
      <c r="E16" s="88"/>
      <c r="F16" s="12"/>
      <c r="G16" s="12"/>
      <c r="H16" s="75">
        <f t="shared" si="2"/>
        <v>50000</v>
      </c>
      <c r="I16" s="76">
        <f t="shared" si="3"/>
        <v>50000</v>
      </c>
    </row>
    <row r="17" spans="1:18" s="81" customFormat="1" ht="18" customHeight="1">
      <c r="A17" s="378" t="s">
        <v>44</v>
      </c>
      <c r="B17" s="247">
        <v>16.3</v>
      </c>
      <c r="C17" s="72">
        <v>22</v>
      </c>
      <c r="D17" s="73">
        <v>39</v>
      </c>
      <c r="E17" s="74"/>
      <c r="F17" s="12"/>
      <c r="G17" s="12"/>
      <c r="H17" s="75">
        <f t="shared" si="2"/>
        <v>50000</v>
      </c>
      <c r="I17" s="76">
        <f t="shared" si="3"/>
        <v>50000</v>
      </c>
      <c r="O17" s="86"/>
      <c r="P17" s="86"/>
      <c r="Q17" s="86"/>
      <c r="R17" s="87"/>
    </row>
    <row r="18" spans="1:13" s="81" customFormat="1" ht="18" customHeight="1">
      <c r="A18" s="378"/>
      <c r="B18" s="247"/>
      <c r="C18" s="72"/>
      <c r="D18" s="73"/>
      <c r="E18" s="74"/>
      <c r="F18" s="72"/>
      <c r="G18" s="72"/>
      <c r="H18" s="75">
        <f t="shared" si="2"/>
        <v>0</v>
      </c>
      <c r="I18" s="76">
        <f t="shared" si="3"/>
        <v>0</v>
      </c>
      <c r="J18" s="87"/>
      <c r="K18" s="87"/>
      <c r="L18" s="87"/>
      <c r="M18" s="87"/>
    </row>
    <row r="19" spans="1:13" s="81" customFormat="1" ht="18" customHeight="1">
      <c r="A19" s="378"/>
      <c r="B19" s="247"/>
      <c r="C19" s="73"/>
      <c r="D19" s="73"/>
      <c r="E19" s="74"/>
      <c r="F19" s="72"/>
      <c r="G19" s="72"/>
      <c r="H19" s="75">
        <f t="shared" si="2"/>
        <v>0</v>
      </c>
      <c r="I19" s="76">
        <f t="shared" si="3"/>
        <v>0</v>
      </c>
      <c r="J19" s="87"/>
      <c r="K19" s="87"/>
      <c r="L19" s="87"/>
      <c r="M19" s="87"/>
    </row>
    <row r="20" spans="1:9" s="57" customFormat="1" ht="18" customHeight="1">
      <c r="A20" s="152"/>
      <c r="B20" s="247"/>
      <c r="C20" s="72"/>
      <c r="D20" s="73"/>
      <c r="E20" s="74"/>
      <c r="F20" s="12"/>
      <c r="G20" s="12"/>
      <c r="H20" s="75">
        <f t="shared" si="2"/>
        <v>0</v>
      </c>
      <c r="I20" s="76">
        <f t="shared" si="3"/>
        <v>0</v>
      </c>
    </row>
    <row r="21" spans="1:9" s="57" customFormat="1" ht="18" customHeight="1">
      <c r="A21" s="152"/>
      <c r="B21" s="247"/>
      <c r="C21" s="72"/>
      <c r="D21" s="73"/>
      <c r="E21" s="74"/>
      <c r="F21" s="12"/>
      <c r="G21" s="12"/>
      <c r="H21" s="75">
        <f aca="true" t="shared" si="4" ref="H21:H27">I21</f>
        <v>0</v>
      </c>
      <c r="I21" s="76">
        <f t="shared" si="3"/>
        <v>0</v>
      </c>
    </row>
    <row r="22" spans="1:9" s="57" customFormat="1" ht="18" customHeight="1">
      <c r="A22" s="152"/>
      <c r="B22" s="247"/>
      <c r="C22" s="72"/>
      <c r="D22" s="73"/>
      <c r="E22" s="74"/>
      <c r="F22" s="12"/>
      <c r="G22" s="12"/>
      <c r="H22" s="75">
        <f t="shared" si="4"/>
        <v>0</v>
      </c>
      <c r="I22" s="76">
        <f t="shared" si="3"/>
        <v>0</v>
      </c>
    </row>
    <row r="23" spans="1:9" s="57" customFormat="1" ht="18" customHeight="1">
      <c r="A23" s="152"/>
      <c r="B23" s="247"/>
      <c r="C23" s="72"/>
      <c r="D23" s="73"/>
      <c r="E23" s="74"/>
      <c r="F23" s="12"/>
      <c r="G23" s="12"/>
      <c r="H23" s="75">
        <f t="shared" si="4"/>
        <v>0</v>
      </c>
      <c r="I23" s="76">
        <f t="shared" si="3"/>
        <v>0</v>
      </c>
    </row>
    <row r="24" spans="1:9" s="57" customFormat="1" ht="18" customHeight="1">
      <c r="A24" s="152"/>
      <c r="B24" s="247"/>
      <c r="C24" s="12"/>
      <c r="D24" s="73"/>
      <c r="E24" s="74"/>
      <c r="F24" s="12"/>
      <c r="G24" s="12"/>
      <c r="H24" s="75">
        <f t="shared" si="4"/>
        <v>0</v>
      </c>
      <c r="I24" s="76">
        <f t="shared" si="3"/>
        <v>0</v>
      </c>
    </row>
    <row r="25" spans="1:9" s="57" customFormat="1" ht="18" customHeight="1">
      <c r="A25" s="152"/>
      <c r="B25" s="247"/>
      <c r="C25" s="72"/>
      <c r="D25" s="92"/>
      <c r="E25" s="88"/>
      <c r="F25" s="12"/>
      <c r="G25" s="12"/>
      <c r="H25" s="75">
        <f t="shared" si="4"/>
        <v>0</v>
      </c>
      <c r="I25" s="76">
        <f t="shared" si="3"/>
        <v>0</v>
      </c>
    </row>
    <row r="26" spans="1:9" s="57" customFormat="1" ht="18" customHeight="1">
      <c r="A26" s="152"/>
      <c r="B26" s="186"/>
      <c r="C26" s="73"/>
      <c r="D26" s="73"/>
      <c r="E26" s="74"/>
      <c r="F26" s="72"/>
      <c r="G26" s="72"/>
      <c r="H26" s="75">
        <f t="shared" si="4"/>
        <v>0</v>
      </c>
      <c r="I26" s="76">
        <f t="shared" si="3"/>
        <v>0</v>
      </c>
    </row>
    <row r="27" spans="1:9" s="57" customFormat="1" ht="18" customHeight="1">
      <c r="A27" s="152"/>
      <c r="B27" s="186"/>
      <c r="C27" s="73"/>
      <c r="D27" s="92"/>
      <c r="E27" s="88"/>
      <c r="F27" s="72"/>
      <c r="G27" s="72"/>
      <c r="H27" s="75">
        <f t="shared" si="4"/>
        <v>0</v>
      </c>
      <c r="I27" s="76">
        <f t="shared" si="3"/>
        <v>0</v>
      </c>
    </row>
    <row r="28" spans="1:9" ht="18" customHeight="1">
      <c r="A28" s="1"/>
      <c r="B28" s="3"/>
      <c r="C28" s="106"/>
      <c r="D28" s="107">
        <f>SUM(D4:D27)</f>
        <v>474</v>
      </c>
      <c r="E28" s="106"/>
      <c r="F28" s="3"/>
      <c r="G28" s="108">
        <f>SUM(G4:G27)</f>
        <v>39</v>
      </c>
      <c r="H28" s="108">
        <f>SUM(H4:H27)</f>
        <v>7200000</v>
      </c>
      <c r="I28" s="109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54" customWidth="1"/>
    <col min="2" max="2" width="7.8515625" style="55" customWidth="1"/>
    <col min="3" max="3" width="8.421875" style="56" customWidth="1"/>
    <col min="4" max="4" width="6.8515625" style="55" customWidth="1"/>
    <col min="5" max="5" width="8.140625" style="55" customWidth="1"/>
    <col min="6" max="6" width="10.140625" style="55" customWidth="1"/>
    <col min="7" max="7" width="9.140625" style="55" customWidth="1"/>
    <col min="8" max="8" width="13.421875" style="55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57" customFormat="1" ht="43.5" customHeight="1">
      <c r="B1" s="435" t="s">
        <v>235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</row>
    <row r="2" spans="2:14" s="57" customFormat="1" ht="29.25" customHeight="1">
      <c r="B2" s="444" t="s">
        <v>234</v>
      </c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</row>
    <row r="3" spans="1:14" s="70" customFormat="1" ht="27" customHeight="1">
      <c r="A3" s="59" t="s">
        <v>77</v>
      </c>
      <c r="B3" s="60" t="s">
        <v>78</v>
      </c>
      <c r="C3" s="308" t="s">
        <v>79</v>
      </c>
      <c r="D3" s="60" t="s">
        <v>80</v>
      </c>
      <c r="E3" s="60" t="s">
        <v>81</v>
      </c>
      <c r="F3" s="61" t="s">
        <v>82</v>
      </c>
      <c r="G3" s="62" t="s">
        <v>83</v>
      </c>
      <c r="H3" s="63" t="s">
        <v>84</v>
      </c>
      <c r="I3" s="64"/>
      <c r="J3" s="65" t="s">
        <v>82</v>
      </c>
      <c r="K3" s="66"/>
      <c r="L3" s="67"/>
      <c r="M3" s="68" t="s">
        <v>83</v>
      </c>
      <c r="N3" s="69" t="s">
        <v>85</v>
      </c>
    </row>
    <row r="4" spans="1:14" s="81" customFormat="1" ht="18" customHeight="1">
      <c r="A4" s="378" t="s">
        <v>48</v>
      </c>
      <c r="B4" s="247">
        <v>8.7</v>
      </c>
      <c r="C4" s="298">
        <v>67</v>
      </c>
      <c r="D4" s="306"/>
      <c r="E4" s="74"/>
      <c r="F4" s="451">
        <v>1</v>
      </c>
      <c r="G4" s="72">
        <v>10</v>
      </c>
      <c r="H4" s="75">
        <v>950000</v>
      </c>
      <c r="I4" s="76">
        <f>IF(E4&gt;0,#REF!,0)+IF(C4&gt;0,50000,0)+IF(C13&lt;0,50000,0)</f>
        <v>50000</v>
      </c>
      <c r="J4" s="77" t="s">
        <v>86</v>
      </c>
      <c r="K4" s="78"/>
      <c r="L4" s="79"/>
      <c r="M4" s="80">
        <v>10</v>
      </c>
      <c r="N4" s="75">
        <f>N12*25%</f>
        <v>1250000</v>
      </c>
    </row>
    <row r="5" spans="1:14" s="81" customFormat="1" ht="18" customHeight="1">
      <c r="A5" s="378" t="s">
        <v>32</v>
      </c>
      <c r="B5" s="247">
        <v>14</v>
      </c>
      <c r="C5" s="296">
        <v>67</v>
      </c>
      <c r="D5" s="307"/>
      <c r="E5" s="74"/>
      <c r="F5" s="452"/>
      <c r="G5" s="72">
        <v>10</v>
      </c>
      <c r="H5" s="75">
        <v>950000</v>
      </c>
      <c r="I5" s="76">
        <f>IF(E5&gt;0,#REF!,0)+IF(C6&gt;0,50000,0)+IF(C14&lt;0,50000,0)</f>
        <v>50000</v>
      </c>
      <c r="J5" s="82" t="s">
        <v>87</v>
      </c>
      <c r="K5" s="83"/>
      <c r="L5" s="84"/>
      <c r="M5" s="85">
        <v>8</v>
      </c>
      <c r="N5" s="75">
        <f>N12*20%</f>
        <v>1000000</v>
      </c>
    </row>
    <row r="6" spans="1:14" s="81" customFormat="1" ht="18" customHeight="1">
      <c r="A6" s="378" t="s">
        <v>40</v>
      </c>
      <c r="B6" s="247">
        <v>21.2</v>
      </c>
      <c r="C6" s="296">
        <v>67</v>
      </c>
      <c r="D6" s="307"/>
      <c r="E6" s="88"/>
      <c r="F6" s="452"/>
      <c r="G6" s="72">
        <v>10</v>
      </c>
      <c r="H6" s="75">
        <v>950000</v>
      </c>
      <c r="I6" s="76">
        <f>IF(E6&gt;0,#REF!,0)+IF(C7&gt;0,50000,0)+IF(C15&lt;0,50000,0)</f>
        <v>50000</v>
      </c>
      <c r="J6" s="82" t="s">
        <v>88</v>
      </c>
      <c r="K6" s="83"/>
      <c r="L6" s="84"/>
      <c r="M6" s="85">
        <v>6</v>
      </c>
      <c r="N6" s="75">
        <f>N12*15%</f>
        <v>750000</v>
      </c>
    </row>
    <row r="7" spans="1:17" s="81" customFormat="1" ht="18" customHeight="1">
      <c r="A7" s="378" t="s">
        <v>165</v>
      </c>
      <c r="B7" s="247"/>
      <c r="C7" s="296">
        <v>67</v>
      </c>
      <c r="D7" s="307"/>
      <c r="E7" s="74"/>
      <c r="F7" s="454"/>
      <c r="G7" s="72" t="s">
        <v>99</v>
      </c>
      <c r="H7" s="75" t="s">
        <v>99</v>
      </c>
      <c r="I7" s="76">
        <f>IF(E7&gt;0,#REF!,0)+IF(C8&gt;0,50000,0)+IF(C16&lt;0,50000,0)</f>
        <v>50000</v>
      </c>
      <c r="J7" s="82" t="s">
        <v>89</v>
      </c>
      <c r="K7" s="83"/>
      <c r="L7" s="84"/>
      <c r="M7" s="85">
        <v>5</v>
      </c>
      <c r="N7" s="75">
        <f>N12*12%</f>
        <v>600000</v>
      </c>
      <c r="O7" s="86"/>
      <c r="P7" s="86"/>
      <c r="Q7" s="87"/>
    </row>
    <row r="8" spans="1:14" s="81" customFormat="1" ht="18" customHeight="1">
      <c r="A8" s="378" t="s">
        <v>30</v>
      </c>
      <c r="B8" s="247">
        <v>9.6</v>
      </c>
      <c r="C8" s="296">
        <v>69</v>
      </c>
      <c r="D8" s="307"/>
      <c r="E8" s="74"/>
      <c r="F8" s="455">
        <v>2</v>
      </c>
      <c r="G8" s="72">
        <v>5</v>
      </c>
      <c r="H8" s="75">
        <v>400000</v>
      </c>
      <c r="I8" s="76">
        <f>IF(E8&gt;0,#REF!,0)+IF(C9&gt;0,50000,0)+IF(C17&lt;0,50000,0)</f>
        <v>50000</v>
      </c>
      <c r="J8" s="82" t="s">
        <v>90</v>
      </c>
      <c r="K8" s="83"/>
      <c r="L8" s="84"/>
      <c r="M8" s="85">
        <v>4</v>
      </c>
      <c r="N8" s="75">
        <f>N12*10%</f>
        <v>500000</v>
      </c>
    </row>
    <row r="9" spans="1:14" s="81" customFormat="1" ht="18" customHeight="1">
      <c r="A9" s="378" t="s">
        <v>14</v>
      </c>
      <c r="B9" s="247">
        <v>12.4</v>
      </c>
      <c r="C9" s="296">
        <v>69</v>
      </c>
      <c r="D9" s="306"/>
      <c r="E9" s="88"/>
      <c r="F9" s="452"/>
      <c r="G9" s="72">
        <v>5</v>
      </c>
      <c r="H9" s="75">
        <v>400000</v>
      </c>
      <c r="I9" s="76">
        <f>IF(E9&gt;0,#REF!,0)+IF(C10&gt;0,50000,0)+IF(C18&lt;0,50000,0)</f>
        <v>50000</v>
      </c>
      <c r="J9" s="82" t="s">
        <v>91</v>
      </c>
      <c r="K9" s="83"/>
      <c r="L9" s="84"/>
      <c r="M9" s="85">
        <v>3</v>
      </c>
      <c r="N9" s="75">
        <f>N12*8%</f>
        <v>400000</v>
      </c>
    </row>
    <row r="10" spans="1:14" s="81" customFormat="1" ht="18" customHeight="1">
      <c r="A10" s="378" t="s">
        <v>38</v>
      </c>
      <c r="B10" s="247">
        <v>14.2</v>
      </c>
      <c r="C10" s="298">
        <v>69</v>
      </c>
      <c r="D10" s="306"/>
      <c r="E10" s="88"/>
      <c r="F10" s="452"/>
      <c r="G10" s="72">
        <v>5</v>
      </c>
      <c r="H10" s="75">
        <v>400000</v>
      </c>
      <c r="I10" s="76">
        <f>IF(E10&gt;0,#REF!,0)+IF(C11&gt;0,50000,0)+IF(C19&lt;0,50000,0)</f>
        <v>50000</v>
      </c>
      <c r="J10" s="82" t="s">
        <v>92</v>
      </c>
      <c r="K10" s="83"/>
      <c r="L10" s="84"/>
      <c r="M10" s="85">
        <v>2</v>
      </c>
      <c r="N10" s="75">
        <f>N12*6%</f>
        <v>300000</v>
      </c>
    </row>
    <row r="11" spans="1:14" s="81" customFormat="1" ht="18" customHeight="1">
      <c r="A11" s="378" t="s">
        <v>42</v>
      </c>
      <c r="B11" s="247">
        <v>19.9</v>
      </c>
      <c r="C11" s="296">
        <v>69</v>
      </c>
      <c r="D11" s="307"/>
      <c r="E11" s="74"/>
      <c r="F11" s="453"/>
      <c r="G11" s="72">
        <v>5</v>
      </c>
      <c r="H11" s="75">
        <v>400000</v>
      </c>
      <c r="I11" s="76">
        <f>IF(E11&gt;0,#REF!,0)+IF(C12&gt;0,50000,0)+IF(C20&lt;0,50000,0)</f>
        <v>50000</v>
      </c>
      <c r="J11" s="82" t="s">
        <v>93</v>
      </c>
      <c r="K11" s="83"/>
      <c r="L11" s="84"/>
      <c r="M11" s="85">
        <v>1</v>
      </c>
      <c r="N11" s="75">
        <f>N12*4%</f>
        <v>200000</v>
      </c>
    </row>
    <row r="12" spans="1:14" s="81" customFormat="1" ht="18" customHeight="1">
      <c r="A12" s="378" t="s">
        <v>28</v>
      </c>
      <c r="B12" s="247">
        <v>12</v>
      </c>
      <c r="C12" s="160">
        <v>73</v>
      </c>
      <c r="D12" s="306"/>
      <c r="E12" s="74"/>
      <c r="F12" s="451">
        <v>3</v>
      </c>
      <c r="G12" s="72"/>
      <c r="H12" s="75">
        <f>I12</f>
        <v>50000</v>
      </c>
      <c r="I12" s="76">
        <f>IF(E12&gt;0,#REF!,0)+IF(C12&gt;0,50000,0)+IF(C12&lt;0,50000,0)</f>
        <v>50000</v>
      </c>
      <c r="J12" s="90" t="s">
        <v>94</v>
      </c>
      <c r="K12" s="83"/>
      <c r="L12" s="84"/>
      <c r="M12" s="85"/>
      <c r="N12" s="91">
        <v>5000000</v>
      </c>
    </row>
    <row r="13" spans="1:14" s="81" customFormat="1" ht="18" customHeight="1">
      <c r="A13" s="378" t="s">
        <v>166</v>
      </c>
      <c r="B13" s="247">
        <v>14.6</v>
      </c>
      <c r="C13" s="296">
        <v>73</v>
      </c>
      <c r="D13" s="306"/>
      <c r="E13" s="74"/>
      <c r="F13" s="452"/>
      <c r="G13" s="72"/>
      <c r="H13" s="75">
        <f aca="true" t="shared" si="0" ref="H13:H27">I13</f>
        <v>50000</v>
      </c>
      <c r="I13" s="76">
        <f>IF(E13&gt;0,#REF!,0)+IF(C13&gt;0,50000,0)+IF(C13&lt;0,50000,0)</f>
        <v>50000</v>
      </c>
      <c r="J13" s="112" t="s">
        <v>95</v>
      </c>
      <c r="K13" s="11"/>
      <c r="L13" s="11"/>
      <c r="M13" s="12">
        <v>1</v>
      </c>
      <c r="N13" s="75">
        <f>N10</f>
        <v>300000</v>
      </c>
    </row>
    <row r="14" spans="1:9" s="81" customFormat="1" ht="18" customHeight="1">
      <c r="A14" s="378" t="s">
        <v>12</v>
      </c>
      <c r="B14" s="247">
        <v>16.5</v>
      </c>
      <c r="C14" s="296">
        <v>73</v>
      </c>
      <c r="D14" s="307"/>
      <c r="E14" s="74"/>
      <c r="F14" s="452"/>
      <c r="G14" s="72"/>
      <c r="H14" s="75">
        <f t="shared" si="0"/>
        <v>50000</v>
      </c>
      <c r="I14" s="76">
        <f>IF(E14&gt;0,#REF!,0)+IF(C14&gt;0,50000,0)+IF(C14&lt;0,50000,0)</f>
        <v>50000</v>
      </c>
    </row>
    <row r="15" spans="1:9" s="81" customFormat="1" ht="18" customHeight="1">
      <c r="A15" s="378" t="s">
        <v>167</v>
      </c>
      <c r="B15" s="247"/>
      <c r="C15" s="297">
        <v>73</v>
      </c>
      <c r="D15" s="306"/>
      <c r="E15" s="74"/>
      <c r="F15" s="454"/>
      <c r="G15" s="72"/>
      <c r="H15" s="75" t="s">
        <v>99</v>
      </c>
      <c r="I15" s="76">
        <f>IF(E15&gt;0,#REF!,0)+IF(C15&gt;0,50000,0)+IF(C15&lt;0,50000,0)</f>
        <v>50000</v>
      </c>
    </row>
    <row r="16" spans="1:9" s="81" customFormat="1" ht="18" customHeight="1">
      <c r="A16" s="378" t="s">
        <v>10</v>
      </c>
      <c r="B16" s="247">
        <v>12.8</v>
      </c>
      <c r="C16" s="296">
        <v>74</v>
      </c>
      <c r="D16" s="306"/>
      <c r="E16" s="88"/>
      <c r="F16" s="455">
        <v>4</v>
      </c>
      <c r="G16" s="12"/>
      <c r="H16" s="75">
        <f t="shared" si="0"/>
        <v>50000</v>
      </c>
      <c r="I16" s="76">
        <f>IF(E16&gt;0,#REF!,0)+IF(C16&gt;0,50000,0)+IF(C16&lt;0,50000,0)</f>
        <v>50000</v>
      </c>
    </row>
    <row r="17" spans="1:17" s="81" customFormat="1" ht="18" customHeight="1">
      <c r="A17" s="378" t="s">
        <v>18</v>
      </c>
      <c r="B17" s="247">
        <v>14.7</v>
      </c>
      <c r="C17" s="296">
        <v>74</v>
      </c>
      <c r="D17" s="306"/>
      <c r="E17" s="74"/>
      <c r="F17" s="452"/>
      <c r="G17" s="12"/>
      <c r="H17" s="75">
        <f t="shared" si="0"/>
        <v>50000</v>
      </c>
      <c r="I17" s="76">
        <f>IF(E17&gt;0,#REF!,0)+IF(C17&gt;0,50000,0)+IF(C17&lt;0,50000,0)</f>
        <v>50000</v>
      </c>
      <c r="J17" s="86"/>
      <c r="K17" s="86"/>
      <c r="L17" s="86"/>
      <c r="M17" s="87"/>
      <c r="O17" s="86"/>
      <c r="P17" s="86"/>
      <c r="Q17" s="87"/>
    </row>
    <row r="18" spans="1:14" s="81" customFormat="1" ht="18" customHeight="1">
      <c r="A18" s="378" t="s">
        <v>34</v>
      </c>
      <c r="B18" s="247">
        <v>14.9</v>
      </c>
      <c r="C18" s="296">
        <v>74</v>
      </c>
      <c r="D18" s="307"/>
      <c r="E18" s="74"/>
      <c r="F18" s="452"/>
      <c r="G18" s="72"/>
      <c r="H18" s="75">
        <f t="shared" si="0"/>
        <v>50000</v>
      </c>
      <c r="I18" s="76">
        <f>IF(E18&gt;0,#REF!,0)+IF(C18&gt;0,50000,0)+IF(C18&lt;0,50000,0)</f>
        <v>50000</v>
      </c>
      <c r="J18" s="12" t="s">
        <v>100</v>
      </c>
      <c r="K18" s="12" t="s">
        <v>83</v>
      </c>
      <c r="L18" s="12"/>
      <c r="M18" s="12" t="s">
        <v>101</v>
      </c>
      <c r="N18" s="12"/>
    </row>
    <row r="19" spans="1:14" s="81" customFormat="1" ht="18" customHeight="1">
      <c r="A19" s="378" t="s">
        <v>44</v>
      </c>
      <c r="B19" s="247">
        <v>16.3</v>
      </c>
      <c r="C19" s="296">
        <v>74</v>
      </c>
      <c r="D19" s="306"/>
      <c r="E19" s="88"/>
      <c r="F19" s="453"/>
      <c r="G19" s="72"/>
      <c r="H19" s="75">
        <f t="shared" si="0"/>
        <v>50000</v>
      </c>
      <c r="I19" s="76">
        <f>IF(E19&gt;0,#REF!,0)+IF(C19&gt;0,50000,0)+IF(C19&lt;0,50000,0)</f>
        <v>50000</v>
      </c>
      <c r="J19" s="12">
        <v>1</v>
      </c>
      <c r="K19" s="12" t="s">
        <v>102</v>
      </c>
      <c r="L19" s="12">
        <v>10</v>
      </c>
      <c r="M19" s="75" t="s">
        <v>102</v>
      </c>
      <c r="N19" s="75">
        <f>N12*0.2</f>
        <v>1000000</v>
      </c>
    </row>
    <row r="20" spans="1:14" s="57" customFormat="1" ht="18" customHeight="1">
      <c r="A20" s="378"/>
      <c r="B20" s="247"/>
      <c r="C20" s="296"/>
      <c r="D20" s="306"/>
      <c r="E20" s="88"/>
      <c r="F20" s="451"/>
      <c r="G20" s="12"/>
      <c r="H20" s="75">
        <f t="shared" si="0"/>
        <v>0</v>
      </c>
      <c r="I20" s="76">
        <f>IF(E20&gt;0,#REF!,0)+IF(C20&gt;0,50000,0)+IF(C20&lt;0,50000,0)</f>
        <v>0</v>
      </c>
      <c r="J20" s="12">
        <v>2</v>
      </c>
      <c r="K20" s="12" t="s">
        <v>102</v>
      </c>
      <c r="L20" s="12">
        <v>6</v>
      </c>
      <c r="M20" s="75" t="s">
        <v>102</v>
      </c>
      <c r="N20" s="75">
        <f>N12*0.15</f>
        <v>750000</v>
      </c>
    </row>
    <row r="21" spans="1:14" s="57" customFormat="1" ht="18" customHeight="1">
      <c r="A21" s="378"/>
      <c r="B21" s="247"/>
      <c r="C21" s="296"/>
      <c r="D21" s="306"/>
      <c r="E21" s="74"/>
      <c r="F21" s="452"/>
      <c r="G21" s="12"/>
      <c r="H21" s="75">
        <f t="shared" si="0"/>
        <v>0</v>
      </c>
      <c r="I21" s="76">
        <f>IF(E21&gt;0,#REF!,0)+IF(C21&gt;0,50000,0)+IF(C21&lt;0,50000,0)</f>
        <v>0</v>
      </c>
      <c r="J21" s="12">
        <v>3</v>
      </c>
      <c r="K21" s="12" t="s">
        <v>102</v>
      </c>
      <c r="L21" s="12">
        <v>4</v>
      </c>
      <c r="M21" s="75" t="s">
        <v>102</v>
      </c>
      <c r="N21" s="75">
        <f>N12*0.1</f>
        <v>500000</v>
      </c>
    </row>
    <row r="22" spans="1:14" s="57" customFormat="1" ht="18" customHeight="1">
      <c r="A22" s="378"/>
      <c r="B22" s="247"/>
      <c r="C22" s="297"/>
      <c r="D22" s="306"/>
      <c r="E22" s="74"/>
      <c r="F22" s="452"/>
      <c r="G22" s="12"/>
      <c r="H22" s="75">
        <f t="shared" si="0"/>
        <v>0</v>
      </c>
      <c r="I22" s="76">
        <f>IF(E22&gt;0,#REF!,0)+IF(C22&gt;0,50000,0)+IF(C22&lt;0,50000,0)</f>
        <v>0</v>
      </c>
      <c r="J22" s="12">
        <v>4</v>
      </c>
      <c r="K22" s="12" t="s">
        <v>102</v>
      </c>
      <c r="L22" s="12">
        <v>2</v>
      </c>
      <c r="M22" s="75" t="s">
        <v>102</v>
      </c>
      <c r="N22" s="75">
        <f>N12*0.05</f>
        <v>250000</v>
      </c>
    </row>
    <row r="23" spans="1:14" s="57" customFormat="1" ht="18" customHeight="1">
      <c r="A23" s="378"/>
      <c r="B23" s="247"/>
      <c r="C23" s="296"/>
      <c r="D23" s="306"/>
      <c r="E23" s="74"/>
      <c r="F23" s="454"/>
      <c r="G23" s="12"/>
      <c r="H23" s="75">
        <f t="shared" si="0"/>
        <v>0</v>
      </c>
      <c r="I23" s="76">
        <f>IF(E23&gt;0,#REF!,0)+IF(C23&gt;0,50000,0)+IF(C23&lt;0,50000,0)</f>
        <v>0</v>
      </c>
      <c r="L23" s="113"/>
      <c r="M23" s="114"/>
      <c r="N23" s="114"/>
    </row>
    <row r="24" spans="1:14" s="57" customFormat="1" ht="18" customHeight="1">
      <c r="A24" s="378"/>
      <c r="B24" s="247"/>
      <c r="C24" s="296"/>
      <c r="D24" s="306"/>
      <c r="E24" s="88"/>
      <c r="F24" s="12"/>
      <c r="G24" s="12"/>
      <c r="H24" s="75">
        <f t="shared" si="0"/>
        <v>0</v>
      </c>
      <c r="I24" s="76"/>
      <c r="L24" s="113"/>
      <c r="M24" s="114"/>
      <c r="N24" s="114"/>
    </row>
    <row r="25" spans="1:14" s="57" customFormat="1" ht="18" customHeight="1">
      <c r="A25" s="152"/>
      <c r="B25" s="247"/>
      <c r="C25" s="298"/>
      <c r="D25" s="306"/>
      <c r="E25" s="88"/>
      <c r="F25" s="12"/>
      <c r="G25" s="12"/>
      <c r="H25" s="75">
        <f t="shared" si="0"/>
        <v>0</v>
      </c>
      <c r="I25" s="76">
        <f>IF(E25&gt;0,#REF!,0)+IF(C25&gt;0,50000,0)+IF(C25&lt;0,50000,0)</f>
        <v>0</v>
      </c>
      <c r="L25" s="113"/>
      <c r="M25" s="114"/>
      <c r="N25" s="114"/>
    </row>
    <row r="26" spans="1:14" s="57" customFormat="1" ht="18" customHeight="1">
      <c r="A26" s="152"/>
      <c r="B26" s="247"/>
      <c r="C26" s="160"/>
      <c r="D26" s="306"/>
      <c r="E26" s="88"/>
      <c r="F26" s="12"/>
      <c r="G26" s="12"/>
      <c r="H26" s="75">
        <f t="shared" si="0"/>
        <v>0</v>
      </c>
      <c r="I26" s="76">
        <f>IF(E26&gt;0,#REF!,0)+IF(C26&gt;0,50000,0)+IF(C26&lt;0,50000,0)</f>
        <v>0</v>
      </c>
      <c r="J26" s="12" t="s">
        <v>103</v>
      </c>
      <c r="K26" s="12" t="s">
        <v>83</v>
      </c>
      <c r="L26" s="12"/>
      <c r="M26" s="75" t="s">
        <v>101</v>
      </c>
      <c r="N26" s="75"/>
    </row>
    <row r="27" spans="1:14" s="57" customFormat="1" ht="18" customHeight="1">
      <c r="A27" s="152"/>
      <c r="B27" s="247"/>
      <c r="C27" s="296"/>
      <c r="D27" s="307"/>
      <c r="E27" s="74"/>
      <c r="F27" s="72"/>
      <c r="G27" s="72"/>
      <c r="H27" s="75">
        <f t="shared" si="0"/>
        <v>0</v>
      </c>
      <c r="I27" s="76">
        <f>IF(E27&gt;0,#REF!,0)+IF(C27&gt;0,50000,0)+IF(C27&lt;0,50000,0)</f>
        <v>0</v>
      </c>
      <c r="J27" s="12">
        <v>1</v>
      </c>
      <c r="K27" s="12" t="s">
        <v>104</v>
      </c>
      <c r="L27" s="12">
        <v>10</v>
      </c>
      <c r="M27" s="75" t="s">
        <v>104</v>
      </c>
      <c r="N27" s="75">
        <f>(N4+N5+N6+N7)/4</f>
        <v>900000</v>
      </c>
    </row>
    <row r="28" spans="1:14" ht="18" customHeight="1">
      <c r="A28" s="152"/>
      <c r="B28" s="247"/>
      <c r="C28" s="297"/>
      <c r="D28" s="306"/>
      <c r="E28" s="74"/>
      <c r="F28" s="72"/>
      <c r="G28" s="72"/>
      <c r="H28" s="75">
        <f>I28</f>
        <v>0</v>
      </c>
      <c r="I28" s="76">
        <f>IF(E28&gt;0,#REF!,0)+IF(C28&gt;0,50000,0)+IF(C28&lt;0,50000,0)</f>
        <v>0</v>
      </c>
      <c r="J28" s="12">
        <v>2</v>
      </c>
      <c r="K28" s="12" t="s">
        <v>104</v>
      </c>
      <c r="L28" s="12">
        <v>5</v>
      </c>
      <c r="M28" s="75" t="s">
        <v>104</v>
      </c>
      <c r="N28" s="75">
        <f>AVERAGE(N8:N11)</f>
        <v>350000</v>
      </c>
    </row>
    <row r="29" spans="1:9" ht="15" thickBot="1">
      <c r="A29" s="1"/>
      <c r="B29" s="3"/>
      <c r="C29" s="106"/>
      <c r="D29" s="107">
        <f>SUM(D4:D28)</f>
        <v>0</v>
      </c>
      <c r="E29" s="106"/>
      <c r="F29" s="3"/>
      <c r="G29" s="108">
        <f>SUM(G4:G28)</f>
        <v>50</v>
      </c>
      <c r="H29" s="108">
        <f>SUM(H4:H28)</f>
        <v>4800000</v>
      </c>
      <c r="I29" s="109"/>
    </row>
    <row r="30" ht="18.75" thickTop="1"/>
  </sheetData>
  <sheetProtection selectLockedCells="1" selectUnlockedCells="1"/>
  <mergeCells count="7">
    <mergeCell ref="F20:F23"/>
    <mergeCell ref="B1:N1"/>
    <mergeCell ref="B2:N2"/>
    <mergeCell ref="F4:F7"/>
    <mergeCell ref="F8:F11"/>
    <mergeCell ref="F12:F15"/>
    <mergeCell ref="F16:F19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54" customWidth="1"/>
    <col min="2" max="2" width="7.8515625" style="55" customWidth="1"/>
    <col min="3" max="3" width="8.421875" style="56" customWidth="1"/>
    <col min="4" max="4" width="6.8515625" style="55" customWidth="1"/>
    <col min="5" max="5" width="8.140625" style="55" customWidth="1"/>
    <col min="6" max="6" width="10.140625" style="55" customWidth="1"/>
    <col min="7" max="7" width="9.140625" style="55" customWidth="1"/>
    <col min="8" max="8" width="13.421875" style="55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57" customFormat="1" ht="43.5" customHeight="1">
      <c r="B1" s="435" t="s">
        <v>108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</row>
    <row r="2" spans="2:14" s="57" customFormat="1" ht="29.25" customHeight="1">
      <c r="B2" s="444" t="s">
        <v>231</v>
      </c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</row>
    <row r="3" spans="1:14" s="122" customFormat="1" ht="27" customHeight="1">
      <c r="A3" s="116" t="s">
        <v>77</v>
      </c>
      <c r="B3" s="117" t="s">
        <v>78</v>
      </c>
      <c r="C3" s="117" t="s">
        <v>83</v>
      </c>
      <c r="D3" s="117" t="s">
        <v>80</v>
      </c>
      <c r="E3" s="117" t="s">
        <v>81</v>
      </c>
      <c r="F3" s="118" t="s">
        <v>82</v>
      </c>
      <c r="G3" s="119" t="s">
        <v>83</v>
      </c>
      <c r="H3" s="120" t="s">
        <v>84</v>
      </c>
      <c r="I3" s="121"/>
      <c r="J3" s="65" t="s">
        <v>82</v>
      </c>
      <c r="K3" s="66"/>
      <c r="L3" s="67"/>
      <c r="M3" s="68" t="s">
        <v>83</v>
      </c>
      <c r="N3" s="69" t="s">
        <v>85</v>
      </c>
    </row>
    <row r="4" spans="1:14" s="81" customFormat="1" ht="18" customHeight="1">
      <c r="A4" s="378" t="s">
        <v>28</v>
      </c>
      <c r="B4" s="247">
        <v>12</v>
      </c>
      <c r="C4" s="73">
        <v>34</v>
      </c>
      <c r="D4" s="92">
        <v>29</v>
      </c>
      <c r="E4" s="88"/>
      <c r="F4" s="72">
        <v>1</v>
      </c>
      <c r="G4" s="72">
        <v>10</v>
      </c>
      <c r="H4" s="75">
        <f aca="true" t="shared" si="0" ref="H4:H11">N4+I4</f>
        <v>1550000</v>
      </c>
      <c r="I4" s="76">
        <f>IF(E4&gt;0,$N$13,0)+IF(C4&gt;0,50000,0)+IF(C12&lt;0,50000,0)</f>
        <v>50000</v>
      </c>
      <c r="J4" s="77" t="s">
        <v>86</v>
      </c>
      <c r="K4" s="78"/>
      <c r="L4" s="79"/>
      <c r="M4" s="80">
        <v>10</v>
      </c>
      <c r="N4" s="75">
        <f>N12*25%</f>
        <v>1500000</v>
      </c>
    </row>
    <row r="5" spans="1:14" s="81" customFormat="1" ht="18" customHeight="1">
      <c r="A5" s="378" t="s">
        <v>46</v>
      </c>
      <c r="B5" s="247">
        <v>21.2</v>
      </c>
      <c r="C5" s="72">
        <v>34</v>
      </c>
      <c r="D5" s="73">
        <v>37</v>
      </c>
      <c r="E5" s="88"/>
      <c r="F5" s="72">
        <v>2</v>
      </c>
      <c r="G5" s="72">
        <v>8</v>
      </c>
      <c r="H5" s="75">
        <f t="shared" si="0"/>
        <v>1250000</v>
      </c>
      <c r="I5" s="76">
        <f aca="true" t="shared" si="1" ref="I5:I11">IF(E5&gt;0,$N$13,0)+IF(C5&gt;0,50000,0)+IF(C13&lt;0,50000,0)</f>
        <v>50000</v>
      </c>
      <c r="J5" s="82" t="s">
        <v>87</v>
      </c>
      <c r="K5" s="83"/>
      <c r="L5" s="84"/>
      <c r="M5" s="85">
        <v>8</v>
      </c>
      <c r="N5" s="75">
        <f>N12*20%</f>
        <v>1200000</v>
      </c>
    </row>
    <row r="6" spans="1:14" s="81" customFormat="1" ht="18" customHeight="1">
      <c r="A6" s="378" t="s">
        <v>30</v>
      </c>
      <c r="B6" s="247">
        <v>9.7</v>
      </c>
      <c r="C6" s="72">
        <v>33</v>
      </c>
      <c r="D6" s="73">
        <v>30</v>
      </c>
      <c r="E6" s="74"/>
      <c r="F6" s="12">
        <v>3</v>
      </c>
      <c r="G6" s="12">
        <v>6</v>
      </c>
      <c r="H6" s="75">
        <f t="shared" si="0"/>
        <v>950000</v>
      </c>
      <c r="I6" s="76">
        <f t="shared" si="1"/>
        <v>50000</v>
      </c>
      <c r="J6" s="82" t="s">
        <v>88</v>
      </c>
      <c r="K6" s="83"/>
      <c r="L6" s="84"/>
      <c r="M6" s="85">
        <v>6</v>
      </c>
      <c r="N6" s="75">
        <f>N12*15%</f>
        <v>900000</v>
      </c>
    </row>
    <row r="7" spans="1:18" s="81" customFormat="1" ht="18" customHeight="1">
      <c r="A7" s="378" t="s">
        <v>34</v>
      </c>
      <c r="B7" s="247">
        <v>14.9</v>
      </c>
      <c r="C7" s="12">
        <v>33</v>
      </c>
      <c r="D7" s="73">
        <v>34</v>
      </c>
      <c r="E7" s="74"/>
      <c r="F7" s="72">
        <v>4</v>
      </c>
      <c r="G7" s="72">
        <v>5</v>
      </c>
      <c r="H7" s="75">
        <f t="shared" si="0"/>
        <v>770000</v>
      </c>
      <c r="I7" s="76">
        <f t="shared" si="1"/>
        <v>50000</v>
      </c>
      <c r="J7" s="82" t="s">
        <v>89</v>
      </c>
      <c r="K7" s="83"/>
      <c r="L7" s="84"/>
      <c r="M7" s="85">
        <v>5</v>
      </c>
      <c r="N7" s="75">
        <f>N12*12%</f>
        <v>720000</v>
      </c>
      <c r="O7" s="86"/>
      <c r="P7" s="86"/>
      <c r="Q7" s="86"/>
      <c r="R7" s="87"/>
    </row>
    <row r="8" spans="1:14" s="81" customFormat="1" ht="18" customHeight="1">
      <c r="A8" s="378" t="s">
        <v>26</v>
      </c>
      <c r="B8" s="247">
        <v>23.1</v>
      </c>
      <c r="C8" s="73">
        <v>32</v>
      </c>
      <c r="D8" s="92">
        <v>35</v>
      </c>
      <c r="E8" s="74"/>
      <c r="F8" s="72">
        <v>5</v>
      </c>
      <c r="G8" s="72">
        <v>4</v>
      </c>
      <c r="H8" s="75">
        <f t="shared" si="0"/>
        <v>650000</v>
      </c>
      <c r="I8" s="76">
        <f t="shared" si="1"/>
        <v>50000</v>
      </c>
      <c r="J8" s="82" t="s">
        <v>90</v>
      </c>
      <c r="K8" s="83"/>
      <c r="L8" s="84"/>
      <c r="M8" s="85">
        <v>4</v>
      </c>
      <c r="N8" s="75">
        <f>N12*10%</f>
        <v>600000</v>
      </c>
    </row>
    <row r="9" spans="1:14" s="81" customFormat="1" ht="18" customHeight="1">
      <c r="A9" s="378" t="s">
        <v>10</v>
      </c>
      <c r="B9" s="247">
        <v>12.7</v>
      </c>
      <c r="C9" s="72">
        <v>29</v>
      </c>
      <c r="D9" s="73">
        <v>34</v>
      </c>
      <c r="E9" s="74"/>
      <c r="F9" s="89">
        <v>6</v>
      </c>
      <c r="G9" s="89">
        <v>3</v>
      </c>
      <c r="H9" s="75">
        <f t="shared" si="0"/>
        <v>530000</v>
      </c>
      <c r="I9" s="76">
        <f>IF(E9&gt;0,$N$13,0)+IF(C9&gt;0,50000,0)+IF(C17&lt;0,50000,0)</f>
        <v>50000</v>
      </c>
      <c r="J9" s="82" t="s">
        <v>91</v>
      </c>
      <c r="K9" s="83"/>
      <c r="L9" s="84"/>
      <c r="M9" s="85">
        <v>3</v>
      </c>
      <c r="N9" s="75">
        <f>N12*8%</f>
        <v>480000</v>
      </c>
    </row>
    <row r="10" spans="1:14" s="81" customFormat="1" ht="18" customHeight="1">
      <c r="A10" s="378" t="s">
        <v>18</v>
      </c>
      <c r="B10" s="247">
        <v>14.6</v>
      </c>
      <c r="C10" s="72">
        <v>29</v>
      </c>
      <c r="D10" s="92">
        <v>29</v>
      </c>
      <c r="E10" s="74"/>
      <c r="F10" s="72">
        <v>7</v>
      </c>
      <c r="G10" s="72">
        <v>2</v>
      </c>
      <c r="H10" s="75">
        <f t="shared" si="0"/>
        <v>410000</v>
      </c>
      <c r="I10" s="76">
        <f t="shared" si="1"/>
        <v>50000</v>
      </c>
      <c r="J10" s="82" t="s">
        <v>92</v>
      </c>
      <c r="K10" s="83"/>
      <c r="L10" s="84"/>
      <c r="M10" s="85">
        <v>2</v>
      </c>
      <c r="N10" s="75">
        <f>N12*6%</f>
        <v>360000</v>
      </c>
    </row>
    <row r="11" spans="1:14" s="81" customFormat="1" ht="18" customHeight="1">
      <c r="A11" s="378" t="s">
        <v>12</v>
      </c>
      <c r="B11" s="247">
        <v>16.4</v>
      </c>
      <c r="C11" s="73">
        <v>29</v>
      </c>
      <c r="D11" s="73">
        <v>33</v>
      </c>
      <c r="E11" s="74"/>
      <c r="F11" s="72">
        <v>8</v>
      </c>
      <c r="G11" s="72">
        <v>1</v>
      </c>
      <c r="H11" s="75">
        <f t="shared" si="0"/>
        <v>290000</v>
      </c>
      <c r="I11" s="76">
        <f t="shared" si="1"/>
        <v>50000</v>
      </c>
      <c r="J11" s="82" t="s">
        <v>93</v>
      </c>
      <c r="K11" s="83"/>
      <c r="L11" s="84"/>
      <c r="M11" s="85">
        <v>1</v>
      </c>
      <c r="N11" s="75">
        <f>N12*4%</f>
        <v>240000</v>
      </c>
    </row>
    <row r="12" spans="1:14" s="81" customFormat="1" ht="18" customHeight="1">
      <c r="A12" s="378" t="s">
        <v>42</v>
      </c>
      <c r="B12" s="247">
        <v>19.8</v>
      </c>
      <c r="C12" s="72">
        <v>29</v>
      </c>
      <c r="D12" s="92">
        <v>35</v>
      </c>
      <c r="E12" s="74"/>
      <c r="F12" s="72"/>
      <c r="G12" s="72"/>
      <c r="H12" s="75">
        <f aca="true" t="shared" si="2" ref="H12:H27">I12</f>
        <v>50000</v>
      </c>
      <c r="I12" s="76">
        <f aca="true" t="shared" si="3" ref="I12:I27">IF(E12&gt;0,$N$13,0)+IF(C12&gt;0,50000,0)+IF(C12&lt;0,50000,0)</f>
        <v>50000</v>
      </c>
      <c r="J12" s="90" t="s">
        <v>94</v>
      </c>
      <c r="K12" s="83"/>
      <c r="L12" s="84"/>
      <c r="M12" s="85"/>
      <c r="N12" s="91">
        <v>6000000</v>
      </c>
    </row>
    <row r="13" spans="1:14" s="81" customFormat="1" ht="18" customHeight="1">
      <c r="A13" s="378" t="s">
        <v>44</v>
      </c>
      <c r="B13" s="247">
        <v>16.2</v>
      </c>
      <c r="C13" s="72">
        <v>28</v>
      </c>
      <c r="D13" s="73">
        <v>35</v>
      </c>
      <c r="E13" s="74"/>
      <c r="F13" s="72"/>
      <c r="G13" s="72"/>
      <c r="H13" s="75">
        <f t="shared" si="2"/>
        <v>50000</v>
      </c>
      <c r="I13" s="76">
        <f t="shared" si="3"/>
        <v>50000</v>
      </c>
      <c r="J13" s="93" t="s">
        <v>95</v>
      </c>
      <c r="K13" s="94"/>
      <c r="L13" s="95"/>
      <c r="M13" s="96">
        <v>1</v>
      </c>
      <c r="N13" s="97">
        <f>N10</f>
        <v>360000</v>
      </c>
    </row>
    <row r="14" spans="1:14" s="81" customFormat="1" ht="18" customHeight="1">
      <c r="A14" s="378" t="s">
        <v>22</v>
      </c>
      <c r="B14" s="247">
        <v>11.9</v>
      </c>
      <c r="C14" s="12">
        <v>26</v>
      </c>
      <c r="D14" s="73">
        <v>34</v>
      </c>
      <c r="E14" s="88"/>
      <c r="F14" s="72"/>
      <c r="G14" s="72"/>
      <c r="H14" s="75">
        <f t="shared" si="2"/>
        <v>50000</v>
      </c>
      <c r="I14" s="76">
        <f t="shared" si="3"/>
        <v>50000</v>
      </c>
      <c r="J14" s="98"/>
      <c r="K14" s="94"/>
      <c r="L14" s="94"/>
      <c r="M14" s="99"/>
      <c r="N14" s="100"/>
    </row>
    <row r="15" spans="1:14" s="81" customFormat="1" ht="18" customHeight="1">
      <c r="A15" s="378" t="s">
        <v>38</v>
      </c>
      <c r="B15" s="247">
        <v>14.1</v>
      </c>
      <c r="C15" s="72">
        <v>26</v>
      </c>
      <c r="D15" s="73">
        <v>36</v>
      </c>
      <c r="E15" s="74"/>
      <c r="F15" s="72"/>
      <c r="G15" s="72"/>
      <c r="H15" s="75">
        <f t="shared" si="2"/>
        <v>50000</v>
      </c>
      <c r="I15" s="76">
        <f t="shared" si="3"/>
        <v>50000</v>
      </c>
      <c r="J15" s="101"/>
      <c r="K15" s="102"/>
      <c r="L15" s="102"/>
      <c r="M15" s="103"/>
      <c r="N15" s="104"/>
    </row>
    <row r="16" spans="1:9" s="81" customFormat="1" ht="18" customHeight="1">
      <c r="A16" s="378" t="s">
        <v>166</v>
      </c>
      <c r="B16" s="247">
        <v>14.5</v>
      </c>
      <c r="C16" s="73">
        <v>26</v>
      </c>
      <c r="D16" s="73">
        <v>36</v>
      </c>
      <c r="E16" s="74"/>
      <c r="F16" s="12"/>
      <c r="G16" s="12"/>
      <c r="H16" s="75">
        <f t="shared" si="2"/>
        <v>50000</v>
      </c>
      <c r="I16" s="76">
        <f t="shared" si="3"/>
        <v>50000</v>
      </c>
    </row>
    <row r="17" spans="1:18" s="81" customFormat="1" ht="18" customHeight="1">
      <c r="A17" s="378" t="s">
        <v>40</v>
      </c>
      <c r="B17" s="247">
        <v>21.1</v>
      </c>
      <c r="C17" s="72">
        <v>25</v>
      </c>
      <c r="D17" s="92">
        <v>33</v>
      </c>
      <c r="E17" s="88"/>
      <c r="F17" s="12"/>
      <c r="G17" s="12"/>
      <c r="H17" s="75">
        <f t="shared" si="2"/>
        <v>50000</v>
      </c>
      <c r="I17" s="76">
        <f t="shared" si="3"/>
        <v>50000</v>
      </c>
      <c r="O17" s="86"/>
      <c r="P17" s="86"/>
      <c r="Q17" s="86"/>
      <c r="R17" s="87"/>
    </row>
    <row r="18" spans="1:12" s="81" customFormat="1" ht="18" customHeight="1">
      <c r="A18" s="378"/>
      <c r="B18" s="247"/>
      <c r="C18" s="72"/>
      <c r="D18" s="73"/>
      <c r="E18" s="74"/>
      <c r="F18" s="72"/>
      <c r="G18" s="72"/>
      <c r="H18" s="75">
        <f t="shared" si="2"/>
        <v>0</v>
      </c>
      <c r="I18" s="76">
        <f t="shared" si="3"/>
        <v>0</v>
      </c>
      <c r="J18" s="87"/>
      <c r="K18" s="87"/>
      <c r="L18" s="87"/>
    </row>
    <row r="19" spans="1:12" s="81" customFormat="1" ht="18" customHeight="1">
      <c r="A19" s="378"/>
      <c r="B19" s="247"/>
      <c r="C19" s="72"/>
      <c r="D19" s="92"/>
      <c r="E19" s="88"/>
      <c r="F19" s="72"/>
      <c r="G19" s="72"/>
      <c r="H19" s="75">
        <f t="shared" si="2"/>
        <v>0</v>
      </c>
      <c r="I19" s="76">
        <f t="shared" si="3"/>
        <v>0</v>
      </c>
      <c r="J19" s="87"/>
      <c r="K19" s="87"/>
      <c r="L19" s="87"/>
    </row>
    <row r="20" spans="1:9" s="57" customFormat="1" ht="18" customHeight="1">
      <c r="A20" s="378"/>
      <c r="B20" s="247"/>
      <c r="C20" s="73"/>
      <c r="D20" s="73"/>
      <c r="E20" s="74"/>
      <c r="F20" s="12"/>
      <c r="G20" s="12"/>
      <c r="H20" s="75">
        <f t="shared" si="2"/>
        <v>0</v>
      </c>
      <c r="I20" s="76">
        <f t="shared" si="3"/>
        <v>0</v>
      </c>
    </row>
    <row r="21" spans="1:9" s="57" customFormat="1" ht="18" customHeight="1">
      <c r="A21" s="378"/>
      <c r="B21" s="247"/>
      <c r="C21" s="72"/>
      <c r="D21" s="73"/>
      <c r="E21" s="88"/>
      <c r="F21" s="12"/>
      <c r="G21" s="12"/>
      <c r="H21" s="75">
        <f t="shared" si="2"/>
        <v>0</v>
      </c>
      <c r="I21" s="76">
        <f t="shared" si="3"/>
        <v>0</v>
      </c>
    </row>
    <row r="22" spans="1:9" s="57" customFormat="1" ht="18" customHeight="1">
      <c r="A22" s="378"/>
      <c r="B22" s="247"/>
      <c r="C22" s="92"/>
      <c r="D22" s="73"/>
      <c r="E22" s="74"/>
      <c r="F22" s="12"/>
      <c r="G22" s="12"/>
      <c r="H22" s="75">
        <f t="shared" si="2"/>
        <v>0</v>
      </c>
      <c r="I22" s="76">
        <f t="shared" si="3"/>
        <v>0</v>
      </c>
    </row>
    <row r="23" spans="1:9" s="57" customFormat="1" ht="18" customHeight="1">
      <c r="A23" s="378"/>
      <c r="B23" s="247"/>
      <c r="C23" s="72"/>
      <c r="D23" s="73"/>
      <c r="E23" s="74"/>
      <c r="F23" s="12"/>
      <c r="G23" s="12"/>
      <c r="H23" s="75">
        <f t="shared" si="2"/>
        <v>0</v>
      </c>
      <c r="I23" s="76">
        <f>IF(E23&gt;0,$N$13,0)+IF(C23&gt;0,50000,0)+IF(C23&lt;0,50000,0)</f>
        <v>0</v>
      </c>
    </row>
    <row r="24" spans="1:9" s="57" customFormat="1" ht="18" customHeight="1">
      <c r="A24" s="152"/>
      <c r="B24" s="247"/>
      <c r="C24" s="72"/>
      <c r="D24" s="73"/>
      <c r="E24" s="88"/>
      <c r="F24" s="12"/>
      <c r="G24" s="12"/>
      <c r="H24" s="75">
        <f t="shared" si="2"/>
        <v>0</v>
      </c>
      <c r="I24" s="76">
        <f t="shared" si="3"/>
        <v>0</v>
      </c>
    </row>
    <row r="25" spans="1:9" s="57" customFormat="1" ht="18" customHeight="1">
      <c r="A25" s="152"/>
      <c r="B25" s="247"/>
      <c r="C25" s="72"/>
      <c r="D25" s="92"/>
      <c r="E25" s="74"/>
      <c r="F25" s="12"/>
      <c r="G25" s="12"/>
      <c r="H25" s="75">
        <f t="shared" si="2"/>
        <v>0</v>
      </c>
      <c r="I25" s="76">
        <f t="shared" si="3"/>
        <v>0</v>
      </c>
    </row>
    <row r="26" spans="1:9" s="57" customFormat="1" ht="18" customHeight="1">
      <c r="A26" s="152"/>
      <c r="B26" s="247"/>
      <c r="C26" s="72"/>
      <c r="D26" s="73"/>
      <c r="E26" s="74"/>
      <c r="F26" s="72"/>
      <c r="G26" s="72"/>
      <c r="H26" s="75">
        <f t="shared" si="2"/>
        <v>0</v>
      </c>
      <c r="I26" s="76">
        <f t="shared" si="3"/>
        <v>0</v>
      </c>
    </row>
    <row r="27" spans="1:9" s="57" customFormat="1" ht="18" customHeight="1">
      <c r="A27" s="152"/>
      <c r="B27" s="247"/>
      <c r="C27" s="73"/>
      <c r="D27" s="92"/>
      <c r="E27" s="88"/>
      <c r="F27" s="72"/>
      <c r="G27" s="72"/>
      <c r="H27" s="75">
        <f t="shared" si="2"/>
        <v>0</v>
      </c>
      <c r="I27" s="76">
        <f t="shared" si="3"/>
        <v>0</v>
      </c>
    </row>
    <row r="28" spans="1:9" ht="24" customHeight="1">
      <c r="A28" s="1"/>
      <c r="B28" s="3"/>
      <c r="C28" s="106"/>
      <c r="D28" s="107">
        <f>SUM(D4:D27)</f>
        <v>470</v>
      </c>
      <c r="E28" s="106"/>
      <c r="F28" s="3"/>
      <c r="G28" s="108">
        <f>SUM(G4:G27)</f>
        <v>39</v>
      </c>
      <c r="H28" s="108">
        <f>SUM(H4:H27)</f>
        <v>6700000</v>
      </c>
      <c r="I28" s="109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L31"/>
  <sheetViews>
    <sheetView zoomScalePageLayoutView="0" workbookViewId="0" topLeftCell="A1">
      <selection activeCell="E18" sqref="E18:F19"/>
    </sheetView>
  </sheetViews>
  <sheetFormatPr defaultColWidth="9.140625" defaultRowHeight="12.75"/>
  <cols>
    <col min="1" max="1" width="2.28125" style="15" customWidth="1"/>
    <col min="2" max="2" width="25.421875" style="15" customWidth="1"/>
    <col min="3" max="3" width="15.421875" style="16" customWidth="1"/>
    <col min="4" max="6" width="10.7109375" style="17" customWidth="1"/>
    <col min="7" max="10" width="9.7109375" style="17" customWidth="1"/>
    <col min="11" max="11" width="10.140625" style="17" customWidth="1"/>
    <col min="12" max="12" width="9.7109375" style="17" customWidth="1"/>
    <col min="13" max="13" width="10.28125" style="17" customWidth="1"/>
    <col min="14" max="16" width="9.7109375" style="17" customWidth="1"/>
    <col min="17" max="25" width="10.28125" style="17" customWidth="1"/>
    <col min="26" max="30" width="9.7109375" style="17" customWidth="1"/>
    <col min="31" max="34" width="8.7109375" style="17" customWidth="1"/>
    <col min="35" max="36" width="8.7109375" style="15" customWidth="1"/>
    <col min="37" max="37" width="9.8515625" style="15" customWidth="1"/>
    <col min="38" max="38" width="15.8515625" style="15" customWidth="1"/>
    <col min="39" max="16384" width="9.140625" style="15" customWidth="1"/>
  </cols>
  <sheetData>
    <row r="1" spans="3:34" ht="24.75" customHeight="1">
      <c r="C1" s="18" t="s">
        <v>54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9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2:37" s="20" customFormat="1" ht="57" customHeight="1">
      <c r="B2" s="21"/>
      <c r="C2" s="31" t="s">
        <v>55</v>
      </c>
      <c r="D2" s="184">
        <v>43015</v>
      </c>
      <c r="E2" s="184">
        <v>43013</v>
      </c>
      <c r="F2" s="184">
        <v>43006</v>
      </c>
      <c r="G2" s="184">
        <v>42999</v>
      </c>
      <c r="H2" s="184">
        <v>42992</v>
      </c>
      <c r="I2" s="184">
        <v>42985</v>
      </c>
      <c r="J2" s="184">
        <v>42981</v>
      </c>
      <c r="K2" s="184">
        <v>42980</v>
      </c>
      <c r="L2" s="184">
        <v>42978</v>
      </c>
      <c r="M2" s="184">
        <v>42971</v>
      </c>
      <c r="N2" s="184">
        <v>42964</v>
      </c>
      <c r="O2" s="184">
        <v>42957</v>
      </c>
      <c r="P2" s="184">
        <v>42950</v>
      </c>
      <c r="Q2" s="184">
        <v>42943</v>
      </c>
      <c r="R2" s="184">
        <v>42936</v>
      </c>
      <c r="S2" s="184">
        <v>42929</v>
      </c>
      <c r="T2" s="184">
        <v>42922</v>
      </c>
      <c r="U2" s="184">
        <v>42915</v>
      </c>
      <c r="V2" s="184">
        <v>42908</v>
      </c>
      <c r="W2" s="184">
        <v>42901</v>
      </c>
      <c r="X2" s="184" t="s">
        <v>211</v>
      </c>
      <c r="Y2" s="184" t="s">
        <v>210</v>
      </c>
      <c r="Z2" s="184">
        <v>42894</v>
      </c>
      <c r="AA2" s="184">
        <v>42887</v>
      </c>
      <c r="AB2" s="184">
        <v>42880</v>
      </c>
      <c r="AC2" s="184">
        <v>42873</v>
      </c>
      <c r="AD2" s="184">
        <v>42866</v>
      </c>
      <c r="AE2" s="184">
        <v>42859</v>
      </c>
      <c r="AF2" s="184">
        <v>42852</v>
      </c>
      <c r="AG2" s="184">
        <v>42845</v>
      </c>
      <c r="AH2" s="184">
        <v>42838</v>
      </c>
      <c r="AI2" s="184">
        <v>42831</v>
      </c>
      <c r="AJ2" s="184">
        <v>42824</v>
      </c>
      <c r="AK2" s="23" t="s">
        <v>56</v>
      </c>
    </row>
    <row r="3" spans="1:37" ht="15.75">
      <c r="A3" s="25"/>
      <c r="B3" s="135" t="s">
        <v>29</v>
      </c>
      <c r="C3" s="141">
        <f aca="true" t="shared" si="0" ref="C3:C27">SUM(D3:AJ3)</f>
        <v>27610000</v>
      </c>
      <c r="D3" s="142">
        <v>1250000</v>
      </c>
      <c r="E3" s="142">
        <v>1400000</v>
      </c>
      <c r="F3" s="142">
        <v>2050000</v>
      </c>
      <c r="G3" s="143">
        <v>50000</v>
      </c>
      <c r="H3" s="143">
        <v>650000</v>
      </c>
      <c r="I3" s="143">
        <v>1550000</v>
      </c>
      <c r="J3" s="143">
        <v>650000</v>
      </c>
      <c r="K3" s="143">
        <v>800000</v>
      </c>
      <c r="L3" s="143">
        <v>770000</v>
      </c>
      <c r="M3" s="143">
        <v>770000</v>
      </c>
      <c r="N3" s="143">
        <v>530000</v>
      </c>
      <c r="O3" s="143">
        <v>50000</v>
      </c>
      <c r="P3" s="143">
        <v>410000</v>
      </c>
      <c r="Q3" s="143">
        <v>770000</v>
      </c>
      <c r="R3" s="143">
        <v>1250000</v>
      </c>
      <c r="S3" s="143">
        <v>1550000</v>
      </c>
      <c r="T3" s="143"/>
      <c r="U3" s="143">
        <v>770000</v>
      </c>
      <c r="V3" s="143">
        <v>530000</v>
      </c>
      <c r="W3" s="143">
        <v>850000</v>
      </c>
      <c r="X3" s="143">
        <v>950000</v>
      </c>
      <c r="Y3" s="143">
        <v>50000</v>
      </c>
      <c r="Z3" s="143">
        <v>1550000</v>
      </c>
      <c r="AA3" s="143">
        <v>1550000</v>
      </c>
      <c r="AB3" s="143"/>
      <c r="AC3" s="143">
        <v>50000</v>
      </c>
      <c r="AD3" s="143">
        <v>650000</v>
      </c>
      <c r="AE3" s="143">
        <v>1350000</v>
      </c>
      <c r="AF3" s="143">
        <v>290000</v>
      </c>
      <c r="AG3" s="143">
        <v>410000</v>
      </c>
      <c r="AH3" s="143">
        <v>1550000</v>
      </c>
      <c r="AI3" s="143">
        <v>1010000</v>
      </c>
      <c r="AJ3" s="143">
        <v>1550000</v>
      </c>
      <c r="AK3" s="144">
        <f>COUNTIF(D3:AJ3,"&gt;0")</f>
        <v>31</v>
      </c>
    </row>
    <row r="4" spans="2:37" ht="15.75">
      <c r="B4" s="137" t="s">
        <v>31</v>
      </c>
      <c r="C4" s="145">
        <f t="shared" si="0"/>
        <v>20430000</v>
      </c>
      <c r="D4" s="142">
        <v>2550000</v>
      </c>
      <c r="E4" s="142">
        <v>1850000</v>
      </c>
      <c r="F4" s="142"/>
      <c r="G4" s="143">
        <v>50000</v>
      </c>
      <c r="H4" s="143">
        <v>50000</v>
      </c>
      <c r="I4" s="143">
        <v>50000</v>
      </c>
      <c r="J4" s="143">
        <v>350000</v>
      </c>
      <c r="K4" s="143">
        <v>350000</v>
      </c>
      <c r="L4" s="143"/>
      <c r="M4" s="143">
        <v>50000</v>
      </c>
      <c r="N4" s="143">
        <v>650000</v>
      </c>
      <c r="O4" s="143">
        <v>50000</v>
      </c>
      <c r="P4" s="143">
        <v>510000</v>
      </c>
      <c r="Q4" s="143">
        <v>50000</v>
      </c>
      <c r="R4" s="143">
        <v>1650000</v>
      </c>
      <c r="S4" s="143">
        <v>50000</v>
      </c>
      <c r="T4" s="143">
        <v>1650000</v>
      </c>
      <c r="U4" s="143">
        <v>1910000</v>
      </c>
      <c r="V4" s="143"/>
      <c r="W4" s="143">
        <v>50000</v>
      </c>
      <c r="X4" s="143">
        <v>1100000</v>
      </c>
      <c r="Y4" s="143">
        <v>400000</v>
      </c>
      <c r="Z4" s="143">
        <v>950000</v>
      </c>
      <c r="AA4" s="143">
        <v>50000</v>
      </c>
      <c r="AB4" s="143"/>
      <c r="AC4" s="143">
        <v>50000</v>
      </c>
      <c r="AD4" s="143">
        <v>770000</v>
      </c>
      <c r="AE4" s="143">
        <v>1910000</v>
      </c>
      <c r="AF4" s="143">
        <v>770000</v>
      </c>
      <c r="AG4" s="143">
        <v>50000</v>
      </c>
      <c r="AH4" s="143">
        <v>410000</v>
      </c>
      <c r="AI4" s="143">
        <v>2050000</v>
      </c>
      <c r="AJ4" s="143">
        <v>50000</v>
      </c>
      <c r="AK4" s="144">
        <f>COUNTIF(G4:AJ4,"&gt;0")</f>
        <v>27</v>
      </c>
    </row>
    <row r="5" spans="1:37" s="24" customFormat="1" ht="15.75">
      <c r="A5" s="15"/>
      <c r="B5" s="139" t="s">
        <v>39</v>
      </c>
      <c r="C5" s="146">
        <f t="shared" si="0"/>
        <v>16500000</v>
      </c>
      <c r="D5" s="142">
        <v>650000</v>
      </c>
      <c r="E5" s="142">
        <v>1050000</v>
      </c>
      <c r="F5" s="142">
        <v>50000</v>
      </c>
      <c r="G5" s="143">
        <v>1100000</v>
      </c>
      <c r="H5" s="143">
        <v>50000</v>
      </c>
      <c r="I5" s="143">
        <v>950000</v>
      </c>
      <c r="J5" s="143">
        <v>1300000</v>
      </c>
      <c r="K5" s="143">
        <v>550000</v>
      </c>
      <c r="L5" s="143">
        <v>50000</v>
      </c>
      <c r="M5" s="143">
        <v>950000</v>
      </c>
      <c r="N5" s="143">
        <v>770000</v>
      </c>
      <c r="O5" s="143">
        <v>370000</v>
      </c>
      <c r="P5" s="143"/>
      <c r="Q5" s="143"/>
      <c r="R5" s="143">
        <v>370000</v>
      </c>
      <c r="S5" s="143">
        <v>1250000</v>
      </c>
      <c r="T5" s="143">
        <v>530000</v>
      </c>
      <c r="U5" s="143">
        <v>1250000</v>
      </c>
      <c r="V5" s="143">
        <v>410000</v>
      </c>
      <c r="W5" s="143">
        <v>50000</v>
      </c>
      <c r="X5" s="143">
        <v>350000</v>
      </c>
      <c r="Y5" s="143">
        <v>400000</v>
      </c>
      <c r="Z5" s="143">
        <v>50000</v>
      </c>
      <c r="AA5" s="143">
        <v>50000</v>
      </c>
      <c r="AB5" s="143">
        <v>770000</v>
      </c>
      <c r="AC5" s="143">
        <v>410000</v>
      </c>
      <c r="AD5" s="143">
        <v>50000</v>
      </c>
      <c r="AE5" s="143">
        <v>290000</v>
      </c>
      <c r="AF5" s="143">
        <v>50000</v>
      </c>
      <c r="AG5" s="143">
        <v>950000</v>
      </c>
      <c r="AH5" s="143">
        <v>530000</v>
      </c>
      <c r="AI5" s="143">
        <v>850000</v>
      </c>
      <c r="AJ5" s="143">
        <v>50000</v>
      </c>
      <c r="AK5" s="144">
        <f aca="true" t="shared" si="1" ref="AK5:AK10">COUNTIF(D5:AJ5,"&gt;0")</f>
        <v>31</v>
      </c>
    </row>
    <row r="6" spans="1:37" s="25" customFormat="1" ht="15.75">
      <c r="A6" s="15"/>
      <c r="B6" s="128" t="s">
        <v>35</v>
      </c>
      <c r="C6" s="147">
        <f t="shared" si="0"/>
        <v>16110000</v>
      </c>
      <c r="D6" s="143">
        <v>1050000</v>
      </c>
      <c r="E6" s="143">
        <v>590000</v>
      </c>
      <c r="F6" s="142">
        <v>50000</v>
      </c>
      <c r="G6" s="143">
        <v>470000</v>
      </c>
      <c r="H6" s="143">
        <v>650000</v>
      </c>
      <c r="I6" s="143">
        <v>150000</v>
      </c>
      <c r="J6" s="143">
        <v>50000</v>
      </c>
      <c r="K6" s="143">
        <v>1050000</v>
      </c>
      <c r="L6" s="143">
        <v>50000</v>
      </c>
      <c r="M6" s="143"/>
      <c r="N6" s="143">
        <v>50000</v>
      </c>
      <c r="O6" s="143">
        <v>50000</v>
      </c>
      <c r="P6" s="143">
        <v>950000</v>
      </c>
      <c r="Q6" s="143">
        <v>770000</v>
      </c>
      <c r="R6" s="143">
        <v>50000</v>
      </c>
      <c r="S6" s="143">
        <v>50000</v>
      </c>
      <c r="T6" s="387">
        <v>950000</v>
      </c>
      <c r="U6" s="143">
        <v>950000</v>
      </c>
      <c r="V6" s="143">
        <v>50000</v>
      </c>
      <c r="W6" s="143"/>
      <c r="X6" s="143">
        <v>450000</v>
      </c>
      <c r="Y6" s="143">
        <v>50000</v>
      </c>
      <c r="Z6" s="143">
        <v>770000</v>
      </c>
      <c r="AA6" s="143">
        <v>770000</v>
      </c>
      <c r="AB6" s="143">
        <v>650000</v>
      </c>
      <c r="AC6" s="143">
        <v>1550000</v>
      </c>
      <c r="AD6" s="143">
        <v>410000</v>
      </c>
      <c r="AE6" s="143">
        <v>750000</v>
      </c>
      <c r="AF6" s="143">
        <v>890000</v>
      </c>
      <c r="AG6" s="143">
        <v>50000</v>
      </c>
      <c r="AH6" s="143">
        <v>870000</v>
      </c>
      <c r="AI6" s="143">
        <v>50000</v>
      </c>
      <c r="AJ6" s="143">
        <v>870000</v>
      </c>
      <c r="AK6" s="144">
        <f t="shared" si="1"/>
        <v>31</v>
      </c>
    </row>
    <row r="7" spans="1:37" s="25" customFormat="1" ht="15.75">
      <c r="A7" s="15"/>
      <c r="B7" s="13" t="s">
        <v>49</v>
      </c>
      <c r="C7" s="148">
        <f t="shared" si="0"/>
        <v>17130000</v>
      </c>
      <c r="D7" s="143">
        <v>2750000</v>
      </c>
      <c r="E7" s="143"/>
      <c r="F7" s="142">
        <v>50000</v>
      </c>
      <c r="G7" s="143"/>
      <c r="H7" s="143">
        <v>350000</v>
      </c>
      <c r="I7" s="143"/>
      <c r="J7" s="143">
        <v>1050000</v>
      </c>
      <c r="K7" s="143">
        <v>1600000</v>
      </c>
      <c r="L7" s="143">
        <v>650000</v>
      </c>
      <c r="M7" s="143">
        <v>50000</v>
      </c>
      <c r="N7" s="143">
        <v>770000</v>
      </c>
      <c r="O7" s="143"/>
      <c r="P7" s="143"/>
      <c r="Q7" s="143">
        <v>1550000</v>
      </c>
      <c r="R7" s="143">
        <v>1010000</v>
      </c>
      <c r="S7" s="143">
        <v>770000</v>
      </c>
      <c r="T7" s="143">
        <v>50000</v>
      </c>
      <c r="U7" s="143"/>
      <c r="V7" s="143"/>
      <c r="W7" s="143">
        <v>1250000</v>
      </c>
      <c r="X7" s="143">
        <v>1300000</v>
      </c>
      <c r="Y7" s="143">
        <v>950000</v>
      </c>
      <c r="Z7" s="143"/>
      <c r="AA7" s="143">
        <v>390000</v>
      </c>
      <c r="AB7" s="143">
        <v>530000</v>
      </c>
      <c r="AC7" s="143">
        <v>950000</v>
      </c>
      <c r="AD7" s="143">
        <v>530000</v>
      </c>
      <c r="AE7" s="143"/>
      <c r="AF7" s="143">
        <v>50000</v>
      </c>
      <c r="AG7" s="143"/>
      <c r="AH7" s="143"/>
      <c r="AI7" s="143">
        <v>530000</v>
      </c>
      <c r="AJ7" s="143"/>
      <c r="AK7" s="144">
        <f t="shared" si="1"/>
        <v>21</v>
      </c>
    </row>
    <row r="8" spans="2:38" ht="15.75">
      <c r="B8" s="13" t="s">
        <v>43</v>
      </c>
      <c r="C8" s="148">
        <f t="shared" si="0"/>
        <v>14890000</v>
      </c>
      <c r="D8" s="143">
        <v>650000</v>
      </c>
      <c r="E8" s="143">
        <v>590000</v>
      </c>
      <c r="F8" s="142">
        <v>50000</v>
      </c>
      <c r="G8" s="143">
        <v>1450000</v>
      </c>
      <c r="H8" s="143">
        <v>1250000</v>
      </c>
      <c r="I8" s="143">
        <v>150000</v>
      </c>
      <c r="J8" s="143">
        <v>850000</v>
      </c>
      <c r="K8" s="143">
        <v>350000</v>
      </c>
      <c r="L8" s="143">
        <v>1550000</v>
      </c>
      <c r="M8" s="143">
        <v>530000</v>
      </c>
      <c r="N8" s="143">
        <v>290000</v>
      </c>
      <c r="O8" s="143">
        <v>50000</v>
      </c>
      <c r="P8" s="143">
        <v>1650000</v>
      </c>
      <c r="Q8" s="143">
        <v>50000</v>
      </c>
      <c r="R8" s="143">
        <v>50000</v>
      </c>
      <c r="S8" s="143">
        <v>1310000</v>
      </c>
      <c r="T8" s="143">
        <v>410000</v>
      </c>
      <c r="U8" s="143">
        <v>530000</v>
      </c>
      <c r="V8" s="143"/>
      <c r="W8" s="143">
        <v>50000</v>
      </c>
      <c r="X8" s="143">
        <v>550000</v>
      </c>
      <c r="Y8" s="143">
        <v>400000</v>
      </c>
      <c r="Z8" s="143">
        <v>50000</v>
      </c>
      <c r="AA8" s="143">
        <v>50000</v>
      </c>
      <c r="AB8" s="143"/>
      <c r="AC8" s="143">
        <v>50000</v>
      </c>
      <c r="AD8" s="143">
        <v>290000</v>
      </c>
      <c r="AE8" s="143">
        <v>50000</v>
      </c>
      <c r="AF8" s="143">
        <v>1250000</v>
      </c>
      <c r="AG8" s="143">
        <v>290000</v>
      </c>
      <c r="AH8" s="143"/>
      <c r="AI8" s="143">
        <v>50000</v>
      </c>
      <c r="AJ8" s="143">
        <v>50000</v>
      </c>
      <c r="AK8" s="144">
        <f t="shared" si="1"/>
        <v>30</v>
      </c>
      <c r="AL8" s="410"/>
    </row>
    <row r="9" spans="2:37" ht="15.75">
      <c r="B9" s="13" t="s">
        <v>149</v>
      </c>
      <c r="C9" s="148">
        <f t="shared" si="0"/>
        <v>13250000</v>
      </c>
      <c r="D9" s="143"/>
      <c r="E9" s="143">
        <v>410000</v>
      </c>
      <c r="F9" s="143">
        <v>690000</v>
      </c>
      <c r="G9" s="143"/>
      <c r="H9" s="143"/>
      <c r="I9" s="143">
        <v>1250000</v>
      </c>
      <c r="J9" s="143"/>
      <c r="K9" s="143"/>
      <c r="L9" s="143"/>
      <c r="M9" s="143"/>
      <c r="N9" s="143"/>
      <c r="O9" s="143"/>
      <c r="P9" s="143"/>
      <c r="Q9" s="143">
        <v>1250000</v>
      </c>
      <c r="R9" s="143"/>
      <c r="S9" s="143"/>
      <c r="T9" s="143"/>
      <c r="U9" s="143">
        <v>50000</v>
      </c>
      <c r="V9" s="143">
        <v>1550000</v>
      </c>
      <c r="W9" s="143">
        <v>2050000</v>
      </c>
      <c r="X9" s="143"/>
      <c r="Y9" s="143"/>
      <c r="Z9" s="143"/>
      <c r="AA9" s="143"/>
      <c r="AB9" s="143">
        <v>1250000</v>
      </c>
      <c r="AC9" s="143">
        <v>1250000</v>
      </c>
      <c r="AD9" s="143">
        <v>1550000</v>
      </c>
      <c r="AE9" s="143"/>
      <c r="AF9" s="143"/>
      <c r="AG9" s="143">
        <v>650000</v>
      </c>
      <c r="AH9" s="143">
        <v>1250000</v>
      </c>
      <c r="AI9" s="143">
        <v>50000</v>
      </c>
      <c r="AJ9" s="143"/>
      <c r="AK9" s="144">
        <f t="shared" si="1"/>
        <v>13</v>
      </c>
    </row>
    <row r="10" spans="2:37" ht="15.75">
      <c r="B10" s="13" t="s">
        <v>13</v>
      </c>
      <c r="C10" s="148">
        <f t="shared" si="0"/>
        <v>15220000</v>
      </c>
      <c r="D10" s="143">
        <v>2650000</v>
      </c>
      <c r="E10" s="143"/>
      <c r="F10" s="143">
        <v>850000</v>
      </c>
      <c r="G10" s="143">
        <v>610000</v>
      </c>
      <c r="H10" s="143">
        <v>410000</v>
      </c>
      <c r="I10" s="143">
        <v>410000</v>
      </c>
      <c r="J10" s="143"/>
      <c r="K10" s="143"/>
      <c r="L10" s="143"/>
      <c r="M10" s="143">
        <v>1550000</v>
      </c>
      <c r="N10" s="143">
        <v>1550000</v>
      </c>
      <c r="O10" s="143">
        <v>1330000</v>
      </c>
      <c r="P10" s="143">
        <v>50000</v>
      </c>
      <c r="Q10" s="143"/>
      <c r="R10" s="143"/>
      <c r="S10" s="143"/>
      <c r="T10" s="143"/>
      <c r="U10" s="143"/>
      <c r="V10" s="143">
        <v>950000</v>
      </c>
      <c r="W10" s="143">
        <v>530000</v>
      </c>
      <c r="X10" s="143">
        <v>50000</v>
      </c>
      <c r="Y10" s="143">
        <v>50000</v>
      </c>
      <c r="Z10" s="143">
        <v>290000</v>
      </c>
      <c r="AA10" s="143"/>
      <c r="AB10" s="143">
        <v>770000</v>
      </c>
      <c r="AC10" s="143">
        <v>50000</v>
      </c>
      <c r="AD10" s="143"/>
      <c r="AE10" s="143">
        <v>530000</v>
      </c>
      <c r="AF10" s="143">
        <v>650000</v>
      </c>
      <c r="AG10" s="143"/>
      <c r="AH10" s="143"/>
      <c r="AI10" s="143">
        <v>690000</v>
      </c>
      <c r="AJ10" s="143">
        <v>1250000</v>
      </c>
      <c r="AK10" s="144">
        <f t="shared" si="1"/>
        <v>20</v>
      </c>
    </row>
    <row r="11" spans="2:37" ht="15.75">
      <c r="B11" s="13" t="s">
        <v>45</v>
      </c>
      <c r="C11" s="148">
        <f t="shared" si="0"/>
        <v>10450000</v>
      </c>
      <c r="D11" s="143"/>
      <c r="E11" s="143"/>
      <c r="F11" s="143"/>
      <c r="G11" s="143"/>
      <c r="H11" s="143">
        <v>1250000</v>
      </c>
      <c r="I11" s="143">
        <v>770000</v>
      </c>
      <c r="J11" s="143">
        <v>350000</v>
      </c>
      <c r="K11" s="143">
        <v>350000</v>
      </c>
      <c r="L11" s="143">
        <v>950000</v>
      </c>
      <c r="M11" s="143">
        <v>410000</v>
      </c>
      <c r="N11" s="143">
        <v>50000</v>
      </c>
      <c r="O11" s="143">
        <v>2050000</v>
      </c>
      <c r="P11" s="143"/>
      <c r="Q11" s="143"/>
      <c r="R11" s="143"/>
      <c r="S11" s="143"/>
      <c r="T11" s="143">
        <v>50000</v>
      </c>
      <c r="U11" s="143">
        <v>650000</v>
      </c>
      <c r="V11" s="143">
        <v>290000</v>
      </c>
      <c r="W11" s="143">
        <v>1650000</v>
      </c>
      <c r="X11" s="143">
        <v>50000</v>
      </c>
      <c r="Y11" s="143">
        <v>50000</v>
      </c>
      <c r="Z11" s="143">
        <v>50000</v>
      </c>
      <c r="AA11" s="143">
        <v>510000</v>
      </c>
      <c r="AB11" s="143">
        <v>50000</v>
      </c>
      <c r="AC11" s="143"/>
      <c r="AD11" s="143"/>
      <c r="AE11" s="143">
        <v>50000</v>
      </c>
      <c r="AF11" s="143">
        <v>410000</v>
      </c>
      <c r="AG11" s="143">
        <v>410000</v>
      </c>
      <c r="AH11" s="256"/>
      <c r="AI11" s="143">
        <v>50000</v>
      </c>
      <c r="AJ11" s="143"/>
      <c r="AK11" s="144">
        <f>COUNTIF(G11:AJ11,"&gt;0")</f>
        <v>21</v>
      </c>
    </row>
    <row r="12" spans="1:37" ht="15.75">
      <c r="A12" s="25"/>
      <c r="B12" s="13" t="s">
        <v>15</v>
      </c>
      <c r="C12" s="148">
        <f t="shared" si="0"/>
        <v>10060000</v>
      </c>
      <c r="D12" s="143">
        <v>50000</v>
      </c>
      <c r="E12" s="143"/>
      <c r="F12" s="143">
        <v>530000</v>
      </c>
      <c r="G12" s="143">
        <v>890000</v>
      </c>
      <c r="H12" s="143"/>
      <c r="I12" s="143">
        <v>890000</v>
      </c>
      <c r="J12" s="143">
        <v>450000</v>
      </c>
      <c r="K12" s="143"/>
      <c r="L12" s="143">
        <v>890000</v>
      </c>
      <c r="M12" s="143"/>
      <c r="N12" s="143"/>
      <c r="O12" s="143">
        <v>1250000</v>
      </c>
      <c r="P12" s="143"/>
      <c r="Q12" s="143">
        <v>50000</v>
      </c>
      <c r="R12" s="143"/>
      <c r="S12" s="143">
        <v>50000</v>
      </c>
      <c r="T12" s="143"/>
      <c r="U12" s="143"/>
      <c r="V12" s="143">
        <v>1250000</v>
      </c>
      <c r="W12" s="143"/>
      <c r="X12" s="143">
        <v>1050000</v>
      </c>
      <c r="Y12" s="143">
        <v>400000</v>
      </c>
      <c r="Z12" s="143"/>
      <c r="AA12" s="143">
        <v>950000</v>
      </c>
      <c r="AB12" s="143">
        <v>950000</v>
      </c>
      <c r="AC12" s="143"/>
      <c r="AD12" s="143"/>
      <c r="AE12" s="143">
        <v>410000</v>
      </c>
      <c r="AF12" s="143"/>
      <c r="AG12" s="143"/>
      <c r="AH12" s="143"/>
      <c r="AI12" s="143"/>
      <c r="AJ12" s="143"/>
      <c r="AK12" s="144">
        <f aca="true" t="shared" si="2" ref="AK12:AK19">COUNTIF(D12:AJ12,"&gt;0")</f>
        <v>15</v>
      </c>
    </row>
    <row r="13" spans="1:37" s="25" customFormat="1" ht="15.75">
      <c r="A13" s="15"/>
      <c r="B13" s="13" t="s">
        <v>19</v>
      </c>
      <c r="C13" s="148">
        <f t="shared" si="0"/>
        <v>9830000</v>
      </c>
      <c r="D13" s="143"/>
      <c r="E13" s="143"/>
      <c r="F13" s="143">
        <v>50000</v>
      </c>
      <c r="G13" s="143">
        <v>50000</v>
      </c>
      <c r="H13" s="143"/>
      <c r="I13" s="143">
        <v>50000</v>
      </c>
      <c r="J13" s="143">
        <v>50000</v>
      </c>
      <c r="K13" s="143">
        <v>550000</v>
      </c>
      <c r="L13" s="143">
        <v>410000</v>
      </c>
      <c r="M13" s="143">
        <v>50000</v>
      </c>
      <c r="N13" s="143">
        <v>50000</v>
      </c>
      <c r="O13" s="143">
        <v>530000</v>
      </c>
      <c r="P13" s="143">
        <v>50000</v>
      </c>
      <c r="Q13" s="143">
        <v>290000</v>
      </c>
      <c r="R13" s="143">
        <v>2050000</v>
      </c>
      <c r="S13" s="143">
        <v>410000</v>
      </c>
      <c r="T13" s="143">
        <v>650000</v>
      </c>
      <c r="U13" s="143">
        <v>50000</v>
      </c>
      <c r="V13" s="143"/>
      <c r="W13" s="143">
        <v>1170000</v>
      </c>
      <c r="X13" s="143">
        <v>250000</v>
      </c>
      <c r="Y13" s="143">
        <v>50000</v>
      </c>
      <c r="Z13" s="143">
        <v>410000</v>
      </c>
      <c r="AA13" s="143">
        <v>50000</v>
      </c>
      <c r="AB13" s="143"/>
      <c r="AC13" s="143">
        <v>50000</v>
      </c>
      <c r="AD13" s="143">
        <v>50000</v>
      </c>
      <c r="AE13" s="143">
        <v>50000</v>
      </c>
      <c r="AF13" s="143"/>
      <c r="AG13" s="143">
        <v>50000</v>
      </c>
      <c r="AH13" s="143">
        <v>1050000</v>
      </c>
      <c r="AI13" s="143">
        <v>950000</v>
      </c>
      <c r="AJ13" s="143">
        <v>410000</v>
      </c>
      <c r="AK13" s="144">
        <f t="shared" si="2"/>
        <v>27</v>
      </c>
    </row>
    <row r="14" spans="1:37" ht="15.75">
      <c r="A14" s="25"/>
      <c r="B14" s="13" t="s">
        <v>11</v>
      </c>
      <c r="C14" s="148">
        <f t="shared" si="0"/>
        <v>9740000</v>
      </c>
      <c r="D14" s="143">
        <v>450000</v>
      </c>
      <c r="E14" s="143">
        <v>50000</v>
      </c>
      <c r="F14" s="143"/>
      <c r="G14" s="143">
        <v>470000</v>
      </c>
      <c r="H14" s="143">
        <v>1250000</v>
      </c>
      <c r="I14" s="143">
        <v>390000</v>
      </c>
      <c r="J14" s="143">
        <v>50000</v>
      </c>
      <c r="K14" s="143">
        <v>650000</v>
      </c>
      <c r="L14" s="143"/>
      <c r="M14" s="143">
        <v>650000</v>
      </c>
      <c r="N14" s="143"/>
      <c r="O14" s="143">
        <v>50000</v>
      </c>
      <c r="P14" s="143">
        <v>50000</v>
      </c>
      <c r="Q14" s="143">
        <v>650000</v>
      </c>
      <c r="R14" s="143"/>
      <c r="S14" s="143"/>
      <c r="T14" s="143"/>
      <c r="U14" s="143">
        <v>410000</v>
      </c>
      <c r="V14" s="143">
        <v>50000</v>
      </c>
      <c r="W14" s="143">
        <v>50000</v>
      </c>
      <c r="X14" s="143">
        <v>650000</v>
      </c>
      <c r="Y14" s="143">
        <v>50000</v>
      </c>
      <c r="Z14" s="143">
        <v>530000</v>
      </c>
      <c r="AA14" s="143"/>
      <c r="AB14" s="143"/>
      <c r="AC14" s="143">
        <v>650000</v>
      </c>
      <c r="AD14" s="143">
        <v>50000</v>
      </c>
      <c r="AE14" s="143">
        <v>50000</v>
      </c>
      <c r="AF14" s="143">
        <v>950000</v>
      </c>
      <c r="AG14" s="143">
        <v>1250000</v>
      </c>
      <c r="AH14" s="143"/>
      <c r="AI14" s="143">
        <v>50000</v>
      </c>
      <c r="AJ14" s="143">
        <v>290000</v>
      </c>
      <c r="AK14" s="144">
        <f t="shared" si="2"/>
        <v>24</v>
      </c>
    </row>
    <row r="15" spans="1:37" s="25" customFormat="1" ht="15.75">
      <c r="A15" s="15"/>
      <c r="B15" s="13" t="s">
        <v>200</v>
      </c>
      <c r="C15" s="148">
        <f t="shared" si="0"/>
        <v>10730000</v>
      </c>
      <c r="D15" s="143">
        <v>1450000</v>
      </c>
      <c r="E15" s="143">
        <v>770000</v>
      </c>
      <c r="F15" s="143">
        <v>1650000</v>
      </c>
      <c r="G15" s="143">
        <v>50000</v>
      </c>
      <c r="H15" s="143">
        <v>50000</v>
      </c>
      <c r="I15" s="143"/>
      <c r="J15" s="143">
        <v>350000</v>
      </c>
      <c r="K15" s="143">
        <v>350000</v>
      </c>
      <c r="L15" s="143">
        <v>50000</v>
      </c>
      <c r="M15" s="143">
        <v>50000</v>
      </c>
      <c r="N15" s="143">
        <v>1250000</v>
      </c>
      <c r="O15" s="143">
        <v>1010000</v>
      </c>
      <c r="P15" s="143">
        <v>50000</v>
      </c>
      <c r="Q15" s="143">
        <v>50000</v>
      </c>
      <c r="R15" s="143">
        <v>50000</v>
      </c>
      <c r="S15" s="143">
        <v>50000</v>
      </c>
      <c r="T15" s="143">
        <v>650000</v>
      </c>
      <c r="U15" s="143">
        <v>50000</v>
      </c>
      <c r="V15" s="143">
        <v>50000</v>
      </c>
      <c r="W15" s="143"/>
      <c r="X15" s="143">
        <v>50000</v>
      </c>
      <c r="Y15" s="143">
        <v>50000</v>
      </c>
      <c r="Z15" s="143">
        <v>50000</v>
      </c>
      <c r="AA15" s="143"/>
      <c r="AB15" s="143">
        <v>50000</v>
      </c>
      <c r="AC15" s="143"/>
      <c r="AD15" s="143">
        <v>50000</v>
      </c>
      <c r="AE15" s="143">
        <v>50000</v>
      </c>
      <c r="AF15" s="143">
        <v>50000</v>
      </c>
      <c r="AG15" s="143">
        <v>1550000</v>
      </c>
      <c r="AH15" s="143">
        <v>650000</v>
      </c>
      <c r="AI15" s="143">
        <v>150000</v>
      </c>
      <c r="AJ15" s="143">
        <v>50000</v>
      </c>
      <c r="AK15" s="144">
        <f t="shared" si="2"/>
        <v>29</v>
      </c>
    </row>
    <row r="16" spans="2:37" ht="15.75">
      <c r="B16" s="13" t="s">
        <v>37</v>
      </c>
      <c r="C16" s="148">
        <f t="shared" si="0"/>
        <v>9300000</v>
      </c>
      <c r="D16" s="143">
        <v>650000</v>
      </c>
      <c r="E16" s="143"/>
      <c r="F16" s="143">
        <v>1250000</v>
      </c>
      <c r="G16" s="143">
        <v>750000</v>
      </c>
      <c r="H16" s="143">
        <v>50000</v>
      </c>
      <c r="I16" s="143">
        <v>650000</v>
      </c>
      <c r="J16" s="143">
        <v>1100000</v>
      </c>
      <c r="K16" s="143">
        <v>450000</v>
      </c>
      <c r="L16" s="143">
        <v>50000</v>
      </c>
      <c r="M16" s="143">
        <v>50000</v>
      </c>
      <c r="N16" s="143">
        <v>50000</v>
      </c>
      <c r="O16" s="143">
        <v>690000</v>
      </c>
      <c r="P16" s="143">
        <v>1250000</v>
      </c>
      <c r="Q16" s="143">
        <v>950000</v>
      </c>
      <c r="R16" s="143">
        <v>50000</v>
      </c>
      <c r="S16" s="143">
        <v>650000</v>
      </c>
      <c r="T16" s="143"/>
      <c r="U16" s="143">
        <v>50000</v>
      </c>
      <c r="V16" s="143"/>
      <c r="W16" s="143"/>
      <c r="X16" s="143"/>
      <c r="Y16" s="143"/>
      <c r="Z16" s="143"/>
      <c r="AA16" s="143"/>
      <c r="AB16" s="143">
        <v>50000</v>
      </c>
      <c r="AC16" s="143"/>
      <c r="AD16" s="143">
        <v>50000</v>
      </c>
      <c r="AE16" s="143"/>
      <c r="AF16" s="143"/>
      <c r="AG16" s="143">
        <v>50000</v>
      </c>
      <c r="AH16" s="143">
        <v>50000</v>
      </c>
      <c r="AI16" s="143"/>
      <c r="AJ16" s="143">
        <v>410000</v>
      </c>
      <c r="AK16" s="144">
        <f t="shared" si="2"/>
        <v>21</v>
      </c>
    </row>
    <row r="17" spans="2:37" ht="15.75">
      <c r="B17" s="13" t="s">
        <v>23</v>
      </c>
      <c r="C17" s="148">
        <f t="shared" si="0"/>
        <v>8090000</v>
      </c>
      <c r="D17" s="143">
        <v>50000</v>
      </c>
      <c r="E17" s="143">
        <v>2300000</v>
      </c>
      <c r="F17" s="143">
        <v>50000</v>
      </c>
      <c r="G17" s="143">
        <v>50000</v>
      </c>
      <c r="H17" s="143"/>
      <c r="I17" s="143">
        <v>50000</v>
      </c>
      <c r="J17" s="143">
        <v>50000</v>
      </c>
      <c r="K17" s="143">
        <v>50000</v>
      </c>
      <c r="L17" s="143">
        <v>50000</v>
      </c>
      <c r="M17" s="143">
        <v>290000</v>
      </c>
      <c r="N17" s="143"/>
      <c r="O17" s="143">
        <v>50000</v>
      </c>
      <c r="P17" s="143">
        <v>290000</v>
      </c>
      <c r="Q17" s="143"/>
      <c r="R17" s="143"/>
      <c r="S17" s="143"/>
      <c r="T17" s="143">
        <v>1350000</v>
      </c>
      <c r="U17" s="143">
        <v>50000</v>
      </c>
      <c r="V17" s="143"/>
      <c r="W17" s="143">
        <v>1010000</v>
      </c>
      <c r="X17" s="143"/>
      <c r="Y17" s="143"/>
      <c r="Z17" s="143">
        <v>50000</v>
      </c>
      <c r="AA17" s="143">
        <v>50000</v>
      </c>
      <c r="AB17" s="143"/>
      <c r="AC17" s="143">
        <v>50000</v>
      </c>
      <c r="AD17" s="143">
        <v>1250000</v>
      </c>
      <c r="AE17" s="143">
        <v>950000</v>
      </c>
      <c r="AF17" s="143">
        <v>50000</v>
      </c>
      <c r="AG17" s="143"/>
      <c r="AH17" s="143"/>
      <c r="AI17" s="143"/>
      <c r="AJ17" s="143"/>
      <c r="AK17" s="144">
        <f t="shared" si="2"/>
        <v>20</v>
      </c>
    </row>
    <row r="18" spans="2:37" ht="15.75">
      <c r="B18" s="13" t="s">
        <v>27</v>
      </c>
      <c r="C18" s="148">
        <f t="shared" si="0"/>
        <v>6820000</v>
      </c>
      <c r="D18" s="143">
        <v>50000</v>
      </c>
      <c r="E18" s="143">
        <v>50000</v>
      </c>
      <c r="F18" s="143"/>
      <c r="G18" s="143"/>
      <c r="H18" s="143">
        <v>350000</v>
      </c>
      <c r="I18" s="143"/>
      <c r="J18" s="143">
        <v>50000</v>
      </c>
      <c r="K18" s="143">
        <v>50000</v>
      </c>
      <c r="L18" s="143"/>
      <c r="M18" s="143"/>
      <c r="N18" s="143"/>
      <c r="O18" s="143">
        <v>50000</v>
      </c>
      <c r="P18" s="143">
        <v>50000</v>
      </c>
      <c r="Q18" s="143"/>
      <c r="R18" s="143">
        <v>50000</v>
      </c>
      <c r="S18" s="143">
        <v>50000</v>
      </c>
      <c r="T18" s="143">
        <v>770000</v>
      </c>
      <c r="U18" s="143">
        <v>290000</v>
      </c>
      <c r="V18" s="143">
        <v>410000</v>
      </c>
      <c r="W18" s="143"/>
      <c r="X18" s="143"/>
      <c r="Y18" s="143"/>
      <c r="Z18" s="143">
        <v>650000</v>
      </c>
      <c r="AA18" s="143">
        <v>1250000</v>
      </c>
      <c r="AB18" s="143">
        <v>290000</v>
      </c>
      <c r="AC18" s="143">
        <v>50000</v>
      </c>
      <c r="AD18" s="143">
        <v>410000</v>
      </c>
      <c r="AE18" s="143">
        <v>50000</v>
      </c>
      <c r="AF18" s="143"/>
      <c r="AG18" s="143"/>
      <c r="AH18" s="256">
        <v>650000</v>
      </c>
      <c r="AI18" s="143">
        <v>1250000</v>
      </c>
      <c r="AJ18" s="143"/>
      <c r="AK18" s="144">
        <f t="shared" si="2"/>
        <v>20</v>
      </c>
    </row>
    <row r="19" spans="1:37" ht="15.75">
      <c r="A19" s="25"/>
      <c r="B19" s="13" t="s">
        <v>41</v>
      </c>
      <c r="C19" s="148">
        <f t="shared" si="0"/>
        <v>6480000</v>
      </c>
      <c r="D19" s="143">
        <v>50000</v>
      </c>
      <c r="E19" s="143">
        <v>50000</v>
      </c>
      <c r="F19" s="143"/>
      <c r="G19" s="143">
        <v>50000</v>
      </c>
      <c r="H19" s="143">
        <v>650000</v>
      </c>
      <c r="I19" s="143"/>
      <c r="J19" s="143">
        <v>250000</v>
      </c>
      <c r="K19" s="143">
        <v>50000</v>
      </c>
      <c r="L19" s="143">
        <v>50000</v>
      </c>
      <c r="M19" s="143">
        <v>50000</v>
      </c>
      <c r="N19" s="143">
        <v>50000</v>
      </c>
      <c r="O19" s="143">
        <v>50000</v>
      </c>
      <c r="P19" s="143">
        <v>530000</v>
      </c>
      <c r="Q19" s="143">
        <v>50000</v>
      </c>
      <c r="R19" s="143"/>
      <c r="S19" s="143"/>
      <c r="T19" s="386"/>
      <c r="U19" s="143"/>
      <c r="V19" s="143">
        <v>50000</v>
      </c>
      <c r="W19" s="143">
        <v>50000</v>
      </c>
      <c r="X19" s="143">
        <v>50000</v>
      </c>
      <c r="Y19" s="143">
        <v>950000</v>
      </c>
      <c r="Z19" s="143">
        <v>50000</v>
      </c>
      <c r="AA19" s="143">
        <v>50000</v>
      </c>
      <c r="AB19" s="143">
        <v>1550000</v>
      </c>
      <c r="AC19" s="143"/>
      <c r="AD19" s="143">
        <v>50000</v>
      </c>
      <c r="AE19" s="143"/>
      <c r="AF19" s="143">
        <v>50000</v>
      </c>
      <c r="AG19" s="143">
        <v>50000</v>
      </c>
      <c r="AH19" s="256"/>
      <c r="AI19" s="143">
        <v>1650000</v>
      </c>
      <c r="AJ19" s="143">
        <v>50000</v>
      </c>
      <c r="AK19" s="144">
        <f t="shared" si="2"/>
        <v>24</v>
      </c>
    </row>
    <row r="20" spans="2:37" ht="15.75">
      <c r="B20" s="13" t="s">
        <v>47</v>
      </c>
      <c r="C20" s="148">
        <f t="shared" si="0"/>
        <v>5950000</v>
      </c>
      <c r="D20" s="143">
        <v>50000</v>
      </c>
      <c r="E20" s="143">
        <v>50000</v>
      </c>
      <c r="F20" s="143">
        <v>1010000</v>
      </c>
      <c r="G20" s="143">
        <v>330000</v>
      </c>
      <c r="H20" s="143"/>
      <c r="I20" s="143">
        <v>50000</v>
      </c>
      <c r="J20" s="143">
        <v>50000</v>
      </c>
      <c r="K20" s="143">
        <v>50000</v>
      </c>
      <c r="L20" s="143">
        <v>50000</v>
      </c>
      <c r="M20" s="143"/>
      <c r="N20" s="143">
        <v>50000</v>
      </c>
      <c r="O20" s="143"/>
      <c r="P20" s="143">
        <v>50000</v>
      </c>
      <c r="Q20" s="143">
        <v>50000</v>
      </c>
      <c r="R20" s="143">
        <v>50000</v>
      </c>
      <c r="S20" s="143">
        <v>290000</v>
      </c>
      <c r="T20" s="143"/>
      <c r="U20" s="143"/>
      <c r="V20" s="143"/>
      <c r="W20" s="143">
        <v>370000</v>
      </c>
      <c r="X20" s="143"/>
      <c r="Y20" s="143"/>
      <c r="Z20" s="143">
        <v>1250000</v>
      </c>
      <c r="AA20" s="143"/>
      <c r="AB20" s="143"/>
      <c r="AC20" s="143">
        <v>50000</v>
      </c>
      <c r="AD20" s="143">
        <v>950000</v>
      </c>
      <c r="AE20" s="143">
        <v>50000</v>
      </c>
      <c r="AF20" s="143"/>
      <c r="AG20" s="143">
        <v>50000</v>
      </c>
      <c r="AH20" s="256"/>
      <c r="AI20" s="143">
        <v>50000</v>
      </c>
      <c r="AJ20" s="143">
        <v>1050000</v>
      </c>
      <c r="AK20" s="144">
        <f>COUNTIF(G20:AJ20,"&gt;0")</f>
        <v>18</v>
      </c>
    </row>
    <row r="21" spans="2:37" ht="15.75">
      <c r="B21" s="13" t="s">
        <v>9</v>
      </c>
      <c r="C21" s="148">
        <f t="shared" si="0"/>
        <v>5480000</v>
      </c>
      <c r="D21" s="143">
        <v>50000</v>
      </c>
      <c r="E21" s="143">
        <v>1130000</v>
      </c>
      <c r="F21" s="143"/>
      <c r="G21" s="143">
        <v>50000</v>
      </c>
      <c r="H21" s="143"/>
      <c r="I21" s="143">
        <v>150000</v>
      </c>
      <c r="J21" s="143">
        <v>50000</v>
      </c>
      <c r="K21" s="143">
        <v>50000</v>
      </c>
      <c r="L21" s="143">
        <v>50000</v>
      </c>
      <c r="M21" s="143"/>
      <c r="N21" s="143">
        <v>50000</v>
      </c>
      <c r="O21" s="143">
        <v>50000</v>
      </c>
      <c r="P21" s="143">
        <v>650000</v>
      </c>
      <c r="Q21" s="143"/>
      <c r="R21" s="143">
        <v>850000</v>
      </c>
      <c r="S21" s="143">
        <v>50000</v>
      </c>
      <c r="T21" s="143">
        <v>50000</v>
      </c>
      <c r="U21" s="143">
        <v>50000</v>
      </c>
      <c r="V21" s="143">
        <v>650000</v>
      </c>
      <c r="W21" s="143"/>
      <c r="X21" s="143"/>
      <c r="Y21" s="143"/>
      <c r="Z21" s="143"/>
      <c r="AA21" s="143">
        <v>50000</v>
      </c>
      <c r="AB21" s="143"/>
      <c r="AC21" s="143">
        <v>770000</v>
      </c>
      <c r="AD21" s="143">
        <v>50000</v>
      </c>
      <c r="AE21" s="143"/>
      <c r="AF21" s="143">
        <v>50000</v>
      </c>
      <c r="AG21" s="143">
        <v>530000</v>
      </c>
      <c r="AH21" s="256"/>
      <c r="AI21" s="143">
        <v>50000</v>
      </c>
      <c r="AJ21" s="143">
        <v>50000</v>
      </c>
      <c r="AK21" s="144">
        <f aca="true" t="shared" si="3" ref="AK21:AK27">COUNTIF(D21:AJ21,"&gt;0")</f>
        <v>22</v>
      </c>
    </row>
    <row r="22" spans="2:37" ht="15.75">
      <c r="B22" s="13" t="s">
        <v>53</v>
      </c>
      <c r="C22" s="148">
        <f t="shared" si="0"/>
        <v>5390000</v>
      </c>
      <c r="D22" s="143">
        <v>50000</v>
      </c>
      <c r="E22" s="143"/>
      <c r="F22" s="143"/>
      <c r="G22" s="143">
        <v>1800000</v>
      </c>
      <c r="H22" s="143"/>
      <c r="I22" s="143"/>
      <c r="J22" s="143"/>
      <c r="K22" s="143"/>
      <c r="L22" s="143"/>
      <c r="M22" s="143">
        <v>50000</v>
      </c>
      <c r="N22" s="143"/>
      <c r="O22" s="143">
        <v>1650000</v>
      </c>
      <c r="P22" s="143"/>
      <c r="Q22" s="143">
        <v>50000</v>
      </c>
      <c r="R22" s="143"/>
      <c r="S22" s="143">
        <v>530000</v>
      </c>
      <c r="T22" s="143"/>
      <c r="U22" s="143"/>
      <c r="V22" s="143"/>
      <c r="W22" s="143">
        <v>50000</v>
      </c>
      <c r="X22" s="143"/>
      <c r="Y22" s="143"/>
      <c r="Z22" s="143"/>
      <c r="AA22" s="143">
        <v>50000</v>
      </c>
      <c r="AB22" s="143"/>
      <c r="AC22" s="143">
        <v>530000</v>
      </c>
      <c r="AD22" s="143">
        <v>50000</v>
      </c>
      <c r="AE22" s="143"/>
      <c r="AF22" s="143"/>
      <c r="AG22" s="143">
        <v>50000</v>
      </c>
      <c r="AH22" s="256"/>
      <c r="AI22" s="143"/>
      <c r="AJ22" s="143">
        <v>530000</v>
      </c>
      <c r="AK22" s="144">
        <f t="shared" si="3"/>
        <v>12</v>
      </c>
    </row>
    <row r="23" spans="2:37" ht="15.75">
      <c r="B23" s="13" t="s">
        <v>33</v>
      </c>
      <c r="C23" s="148">
        <f t="shared" si="0"/>
        <v>5050000</v>
      </c>
      <c r="D23" s="143">
        <v>50000</v>
      </c>
      <c r="E23" s="143"/>
      <c r="F23" s="143">
        <v>850000</v>
      </c>
      <c r="G23" s="143"/>
      <c r="H23" s="143"/>
      <c r="I23" s="143"/>
      <c r="J23" s="143"/>
      <c r="K23" s="143"/>
      <c r="L23" s="143">
        <v>1250000</v>
      </c>
      <c r="M23" s="143"/>
      <c r="N23" s="143"/>
      <c r="O23" s="143">
        <v>50000</v>
      </c>
      <c r="P23" s="143"/>
      <c r="Q23" s="143"/>
      <c r="R23" s="143"/>
      <c r="S23" s="143"/>
      <c r="T23" s="143"/>
      <c r="U23" s="143"/>
      <c r="V23" s="143"/>
      <c r="W23" s="143"/>
      <c r="X23" s="143">
        <v>350000</v>
      </c>
      <c r="Y23" s="143">
        <v>950000</v>
      </c>
      <c r="Z23" s="143"/>
      <c r="AA23" s="143">
        <v>630000</v>
      </c>
      <c r="AB23" s="143"/>
      <c r="AC23" s="143"/>
      <c r="AD23" s="143"/>
      <c r="AE23" s="143">
        <v>870000</v>
      </c>
      <c r="AF23" s="143"/>
      <c r="AG23" s="143">
        <v>50000</v>
      </c>
      <c r="AH23" s="256"/>
      <c r="AI23" s="143"/>
      <c r="AJ23" s="143"/>
      <c r="AK23" s="144">
        <f t="shared" si="3"/>
        <v>9</v>
      </c>
    </row>
    <row r="24" spans="2:37" ht="15.75">
      <c r="B24" s="13" t="s">
        <v>51</v>
      </c>
      <c r="C24" s="148">
        <f t="shared" si="0"/>
        <v>3410000</v>
      </c>
      <c r="D24" s="143"/>
      <c r="E24" s="143"/>
      <c r="F24" s="143"/>
      <c r="G24" s="143"/>
      <c r="H24" s="143"/>
      <c r="I24" s="143"/>
      <c r="J24" s="143"/>
      <c r="K24" s="143"/>
      <c r="L24" s="143">
        <v>50000</v>
      </c>
      <c r="M24" s="143">
        <v>410000</v>
      </c>
      <c r="N24" s="143"/>
      <c r="O24" s="143"/>
      <c r="P24" s="143">
        <v>770000</v>
      </c>
      <c r="Q24" s="143">
        <v>50000</v>
      </c>
      <c r="R24" s="143">
        <v>50000</v>
      </c>
      <c r="S24" s="143">
        <v>50000</v>
      </c>
      <c r="T24" s="143"/>
      <c r="U24" s="143"/>
      <c r="V24" s="143">
        <v>770000</v>
      </c>
      <c r="W24" s="143">
        <v>50000</v>
      </c>
      <c r="X24" s="143"/>
      <c r="Y24" s="143"/>
      <c r="Z24" s="143"/>
      <c r="AA24" s="143">
        <v>50000</v>
      </c>
      <c r="AB24" s="143"/>
      <c r="AC24" s="143">
        <v>410000</v>
      </c>
      <c r="AD24" s="143">
        <v>50000</v>
      </c>
      <c r="AE24" s="143">
        <v>50000</v>
      </c>
      <c r="AF24" s="143"/>
      <c r="AG24" s="143"/>
      <c r="AH24" s="385"/>
      <c r="AI24" s="143"/>
      <c r="AJ24" s="143">
        <v>650000</v>
      </c>
      <c r="AK24" s="144">
        <f t="shared" si="3"/>
        <v>13</v>
      </c>
    </row>
    <row r="25" spans="2:37" ht="15.75">
      <c r="B25" s="13" t="s">
        <v>17</v>
      </c>
      <c r="C25" s="148">
        <f t="shared" si="0"/>
        <v>3180000</v>
      </c>
      <c r="D25" s="143"/>
      <c r="E25" s="143"/>
      <c r="F25" s="143"/>
      <c r="G25" s="143"/>
      <c r="H25" s="143"/>
      <c r="I25" s="143">
        <v>50000</v>
      </c>
      <c r="J25" s="143">
        <v>50000</v>
      </c>
      <c r="K25" s="143">
        <v>50000</v>
      </c>
      <c r="L25" s="143"/>
      <c r="M25" s="143">
        <v>50000</v>
      </c>
      <c r="N25" s="143">
        <v>950000</v>
      </c>
      <c r="O25" s="143">
        <v>50000</v>
      </c>
      <c r="P25" s="143">
        <v>50000</v>
      </c>
      <c r="Q25" s="143">
        <v>530000</v>
      </c>
      <c r="R25" s="143">
        <v>530000</v>
      </c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>
        <v>50000</v>
      </c>
      <c r="AF25" s="143">
        <v>50000</v>
      </c>
      <c r="AG25" s="143">
        <v>770000</v>
      </c>
      <c r="AH25" s="256"/>
      <c r="AI25" s="143"/>
      <c r="AJ25" s="143"/>
      <c r="AK25" s="144">
        <f t="shared" si="3"/>
        <v>12</v>
      </c>
    </row>
    <row r="26" spans="2:37" ht="15.75">
      <c r="B26" s="13" t="s">
        <v>25</v>
      </c>
      <c r="C26" s="148">
        <f t="shared" si="0"/>
        <v>3090000</v>
      </c>
      <c r="D26" s="143">
        <v>50000</v>
      </c>
      <c r="E26" s="143"/>
      <c r="F26" s="143"/>
      <c r="G26" s="143"/>
      <c r="H26" s="143"/>
      <c r="I26" s="143"/>
      <c r="J26" s="143"/>
      <c r="K26" s="143"/>
      <c r="L26" s="143"/>
      <c r="M26" s="143">
        <v>1250000</v>
      </c>
      <c r="N26" s="143"/>
      <c r="O26" s="143">
        <v>50000</v>
      </c>
      <c r="P26" s="143"/>
      <c r="Q26" s="143"/>
      <c r="R26" s="143">
        <v>690000</v>
      </c>
      <c r="S26" s="143"/>
      <c r="T26" s="143">
        <v>150000</v>
      </c>
      <c r="U26" s="143"/>
      <c r="V26" s="143"/>
      <c r="W26" s="143"/>
      <c r="X26" s="143"/>
      <c r="Y26" s="143"/>
      <c r="Z26" s="143"/>
      <c r="AA26" s="143">
        <v>750000</v>
      </c>
      <c r="AB26" s="143"/>
      <c r="AC26" s="143">
        <v>50000</v>
      </c>
      <c r="AD26" s="143"/>
      <c r="AE26" s="143"/>
      <c r="AF26" s="143">
        <v>50000</v>
      </c>
      <c r="AG26" s="143"/>
      <c r="AH26" s="385"/>
      <c r="AI26" s="143"/>
      <c r="AJ26" s="143">
        <v>50000</v>
      </c>
      <c r="AK26" s="144">
        <f t="shared" si="3"/>
        <v>9</v>
      </c>
    </row>
    <row r="27" spans="2:37" ht="15.75">
      <c r="B27" s="13" t="s">
        <v>21</v>
      </c>
      <c r="C27" s="148">
        <f t="shared" si="0"/>
        <v>2930000</v>
      </c>
      <c r="D27" s="143"/>
      <c r="E27" s="143"/>
      <c r="F27" s="143"/>
      <c r="G27" s="143"/>
      <c r="H27" s="143">
        <v>350000</v>
      </c>
      <c r="I27" s="143"/>
      <c r="J27" s="143"/>
      <c r="K27" s="143"/>
      <c r="L27" s="143">
        <v>290000</v>
      </c>
      <c r="M27" s="143">
        <v>50000</v>
      </c>
      <c r="N27" s="143"/>
      <c r="O27" s="143"/>
      <c r="P27" s="143"/>
      <c r="Q27" s="143"/>
      <c r="R27" s="143"/>
      <c r="S27" s="143"/>
      <c r="T27" s="143"/>
      <c r="U27" s="143"/>
      <c r="V27" s="143">
        <v>50000</v>
      </c>
      <c r="W27" s="143"/>
      <c r="X27" s="143"/>
      <c r="Y27" s="143"/>
      <c r="Z27" s="143"/>
      <c r="AA27" s="143"/>
      <c r="AB27" s="143"/>
      <c r="AC27" s="143">
        <v>290000</v>
      </c>
      <c r="AD27" s="143">
        <v>50000</v>
      </c>
      <c r="AE27" s="143">
        <v>150000</v>
      </c>
      <c r="AF27" s="143">
        <v>1550000</v>
      </c>
      <c r="AG27" s="143"/>
      <c r="AH27" s="256"/>
      <c r="AI27" s="143">
        <v>150000</v>
      </c>
      <c r="AJ27" s="143"/>
      <c r="AK27" s="144">
        <f t="shared" si="3"/>
        <v>9</v>
      </c>
    </row>
    <row r="28" spans="2:36" ht="15.75">
      <c r="B28" s="149"/>
      <c r="C28" s="150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49"/>
      <c r="AJ28" s="149"/>
    </row>
    <row r="29" spans="2:37" s="352" customFormat="1" ht="15.75">
      <c r="B29" s="353" t="s">
        <v>57</v>
      </c>
      <c r="C29" s="354"/>
      <c r="D29" s="354">
        <f aca="true" t="shared" si="4" ref="D29:AK29">SUM(D3:D27)</f>
        <v>14550000</v>
      </c>
      <c r="E29" s="354">
        <f t="shared" si="4"/>
        <v>10290000</v>
      </c>
      <c r="F29" s="354">
        <f t="shared" si="4"/>
        <v>9180000</v>
      </c>
      <c r="G29" s="354">
        <f t="shared" si="4"/>
        <v>8220000</v>
      </c>
      <c r="H29" s="354">
        <f t="shared" si="4"/>
        <v>7360000</v>
      </c>
      <c r="I29" s="354">
        <f t="shared" si="4"/>
        <v>7560000</v>
      </c>
      <c r="J29" s="354">
        <f t="shared" si="4"/>
        <v>7100000</v>
      </c>
      <c r="K29" s="354">
        <f t="shared" si="4"/>
        <v>7350000</v>
      </c>
      <c r="L29" s="354">
        <f t="shared" si="4"/>
        <v>7210000</v>
      </c>
      <c r="M29" s="354">
        <f t="shared" si="4"/>
        <v>7260000</v>
      </c>
      <c r="N29" s="354">
        <f t="shared" si="4"/>
        <v>7110000</v>
      </c>
      <c r="O29" s="354">
        <f t="shared" si="4"/>
        <v>9480000</v>
      </c>
      <c r="P29" s="354">
        <f t="shared" si="4"/>
        <v>7360000</v>
      </c>
      <c r="Q29" s="354">
        <f t="shared" si="4"/>
        <v>7160000</v>
      </c>
      <c r="R29" s="354">
        <f t="shared" si="4"/>
        <v>8750000</v>
      </c>
      <c r="S29" s="354">
        <f t="shared" si="4"/>
        <v>7110000</v>
      </c>
      <c r="T29" s="354">
        <f t="shared" si="4"/>
        <v>7260000</v>
      </c>
      <c r="U29" s="354">
        <f t="shared" si="4"/>
        <v>7060000</v>
      </c>
      <c r="V29" s="354">
        <f t="shared" si="4"/>
        <v>7060000</v>
      </c>
      <c r="W29" s="354">
        <f t="shared" si="4"/>
        <v>9230000</v>
      </c>
      <c r="X29" s="354">
        <f t="shared" si="4"/>
        <v>7200000</v>
      </c>
      <c r="Y29" s="354">
        <f t="shared" si="4"/>
        <v>4800000</v>
      </c>
      <c r="Z29" s="354">
        <f t="shared" si="4"/>
        <v>6700000</v>
      </c>
      <c r="AA29" s="354">
        <f t="shared" si="4"/>
        <v>7250000</v>
      </c>
      <c r="AB29" s="354">
        <f t="shared" si="4"/>
        <v>6910000</v>
      </c>
      <c r="AC29" s="354">
        <f t="shared" si="4"/>
        <v>7260000</v>
      </c>
      <c r="AD29" s="354">
        <f t="shared" si="4"/>
        <v>7310000</v>
      </c>
      <c r="AE29" s="354">
        <f t="shared" si="4"/>
        <v>7660000</v>
      </c>
      <c r="AF29" s="354">
        <f t="shared" si="4"/>
        <v>7160000</v>
      </c>
      <c r="AG29" s="354">
        <f t="shared" si="4"/>
        <v>7210000</v>
      </c>
      <c r="AH29" s="354">
        <f t="shared" si="4"/>
        <v>7010000</v>
      </c>
      <c r="AI29" s="354">
        <f t="shared" si="4"/>
        <v>9630000</v>
      </c>
      <c r="AJ29" s="354">
        <f t="shared" si="4"/>
        <v>7360000</v>
      </c>
      <c r="AK29" s="149">
        <f t="shared" si="4"/>
        <v>509</v>
      </c>
    </row>
    <row r="31" spans="4:16" ht="15.75"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</sheetData>
  <sheetProtection selectLockedCells="1" selectUnlockedCells="1"/>
  <autoFilter ref="A2:AK27">
    <sortState ref="A3:AK31">
      <sortCondition descending="1" sortBy="value" ref="C3:C31"/>
    </sortState>
  </autoFilter>
  <printOptions horizontalCentered="1" verticalCentered="1"/>
  <pageMargins left="0.43333333333333335" right="0.43333333333333335" top="0.5513888888888889" bottom="0.5513888888888889" header="0.5118055555555555" footer="0.5118055555555555"/>
  <pageSetup horizontalDpi="300" verticalDpi="300" orientation="landscape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54" customWidth="1"/>
    <col min="2" max="2" width="7.8515625" style="55" customWidth="1"/>
    <col min="3" max="3" width="8.421875" style="56" customWidth="1"/>
    <col min="4" max="4" width="6.8515625" style="55" customWidth="1"/>
    <col min="5" max="5" width="8.140625" style="55" customWidth="1"/>
    <col min="6" max="6" width="10.140625" style="55" customWidth="1"/>
    <col min="7" max="7" width="9.140625" style="55" customWidth="1"/>
    <col min="8" max="8" width="13.421875" style="55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57" customFormat="1" ht="43.5" customHeight="1">
      <c r="B1" s="435" t="s">
        <v>140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</row>
    <row r="2" spans="2:14" s="57" customFormat="1" ht="29.25" customHeight="1">
      <c r="B2" s="444" t="s">
        <v>229</v>
      </c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</row>
    <row r="3" spans="1:14" s="70" customFormat="1" ht="27" customHeight="1">
      <c r="A3" s="59" t="s">
        <v>77</v>
      </c>
      <c r="B3" s="60" t="s">
        <v>78</v>
      </c>
      <c r="C3" s="60" t="s">
        <v>79</v>
      </c>
      <c r="D3" s="60" t="s">
        <v>80</v>
      </c>
      <c r="E3" s="60" t="s">
        <v>81</v>
      </c>
      <c r="F3" s="61" t="s">
        <v>82</v>
      </c>
      <c r="G3" s="62" t="s">
        <v>83</v>
      </c>
      <c r="H3" s="63" t="s">
        <v>84</v>
      </c>
      <c r="I3" s="64"/>
      <c r="J3" s="65" t="s">
        <v>82</v>
      </c>
      <c r="K3" s="66"/>
      <c r="L3" s="67"/>
      <c r="M3" s="68" t="s">
        <v>83</v>
      </c>
      <c r="N3" s="69" t="s">
        <v>85</v>
      </c>
    </row>
    <row r="4" spans="1:14" s="81" customFormat="1" ht="18" customHeight="1">
      <c r="A4" s="378" t="s">
        <v>28</v>
      </c>
      <c r="B4" s="247">
        <v>12</v>
      </c>
      <c r="C4" s="12">
        <v>36</v>
      </c>
      <c r="D4" s="73">
        <v>32</v>
      </c>
      <c r="E4" s="88"/>
      <c r="F4" s="72">
        <v>1</v>
      </c>
      <c r="G4" s="72">
        <v>10</v>
      </c>
      <c r="H4" s="75">
        <f>N4+I4</f>
        <v>1550000</v>
      </c>
      <c r="I4" s="76">
        <f aca="true" t="shared" si="0" ref="I4:I28">IF(E4&gt;0,$N$13,0)+IF(C4&gt;0,50000,0)+IF(C12&lt;0,50000,0)</f>
        <v>50000</v>
      </c>
      <c r="J4" s="77" t="s">
        <v>86</v>
      </c>
      <c r="K4" s="78"/>
      <c r="L4" s="79"/>
      <c r="M4" s="80">
        <v>10</v>
      </c>
      <c r="N4" s="75">
        <f>N12*25%</f>
        <v>1500000</v>
      </c>
    </row>
    <row r="5" spans="1:14" s="81" customFormat="1" ht="18" customHeight="1">
      <c r="A5" s="378" t="s">
        <v>26</v>
      </c>
      <c r="B5" s="247">
        <v>23.1</v>
      </c>
      <c r="C5" s="73">
        <v>34</v>
      </c>
      <c r="D5" s="73">
        <v>36</v>
      </c>
      <c r="E5" s="88"/>
      <c r="F5" s="72">
        <v>2</v>
      </c>
      <c r="G5" s="72">
        <v>8</v>
      </c>
      <c r="H5" s="75">
        <f>N5+I5</f>
        <v>1250000</v>
      </c>
      <c r="I5" s="76">
        <f t="shared" si="0"/>
        <v>50000</v>
      </c>
      <c r="J5" s="82" t="s">
        <v>87</v>
      </c>
      <c r="K5" s="83"/>
      <c r="L5" s="84"/>
      <c r="M5" s="85">
        <v>8</v>
      </c>
      <c r="N5" s="75">
        <f>N12*20%</f>
        <v>1200000</v>
      </c>
    </row>
    <row r="6" spans="1:14" s="81" customFormat="1" ht="18" customHeight="1">
      <c r="A6" s="378" t="s">
        <v>14</v>
      </c>
      <c r="B6" s="247">
        <v>12.3</v>
      </c>
      <c r="C6" s="72">
        <v>32</v>
      </c>
      <c r="D6" s="73">
        <v>34</v>
      </c>
      <c r="E6" s="74"/>
      <c r="F6" s="12">
        <v>3</v>
      </c>
      <c r="G6" s="12">
        <v>6</v>
      </c>
      <c r="H6" s="75">
        <f>N6+I6</f>
        <v>950000</v>
      </c>
      <c r="I6" s="76">
        <f t="shared" si="0"/>
        <v>50000</v>
      </c>
      <c r="J6" s="82" t="s">
        <v>88</v>
      </c>
      <c r="K6" s="83"/>
      <c r="L6" s="84"/>
      <c r="M6" s="85">
        <v>6</v>
      </c>
      <c r="N6" s="75">
        <f>N12*15%</f>
        <v>900000</v>
      </c>
    </row>
    <row r="7" spans="1:18" s="81" customFormat="1" ht="18" customHeight="1">
      <c r="A7" s="378" t="s">
        <v>34</v>
      </c>
      <c r="B7" s="247">
        <v>14.8</v>
      </c>
      <c r="C7" s="72">
        <v>32</v>
      </c>
      <c r="D7" s="92">
        <v>32</v>
      </c>
      <c r="E7" s="88"/>
      <c r="F7" s="72">
        <v>4</v>
      </c>
      <c r="G7" s="72">
        <v>5</v>
      </c>
      <c r="H7" s="75">
        <f>N7+I7</f>
        <v>770000</v>
      </c>
      <c r="I7" s="76">
        <f t="shared" si="0"/>
        <v>50000</v>
      </c>
      <c r="J7" s="82" t="s">
        <v>89</v>
      </c>
      <c r="K7" s="83"/>
      <c r="L7" s="84"/>
      <c r="M7" s="85">
        <v>5</v>
      </c>
      <c r="N7" s="75">
        <f>N12*12%</f>
        <v>720000</v>
      </c>
      <c r="O7" s="86"/>
      <c r="P7" s="86"/>
      <c r="Q7" s="86"/>
      <c r="R7" s="87"/>
    </row>
    <row r="8" spans="1:14" s="81" customFormat="1" ht="18" customHeight="1">
      <c r="A8" s="378" t="s">
        <v>24</v>
      </c>
      <c r="B8" s="247">
        <v>13.2</v>
      </c>
      <c r="C8" s="72">
        <v>31</v>
      </c>
      <c r="D8" s="73">
        <v>36</v>
      </c>
      <c r="E8" s="74">
        <v>15.32</v>
      </c>
      <c r="F8" s="72">
        <v>5</v>
      </c>
      <c r="G8" s="72">
        <v>4</v>
      </c>
      <c r="H8" s="75">
        <v>750000</v>
      </c>
      <c r="I8" s="76">
        <f t="shared" si="0"/>
        <v>410000</v>
      </c>
      <c r="J8" s="82" t="s">
        <v>90</v>
      </c>
      <c r="K8" s="83"/>
      <c r="L8" s="84"/>
      <c r="M8" s="85">
        <v>4</v>
      </c>
      <c r="N8" s="75">
        <f>N12*10%</f>
        <v>600000</v>
      </c>
    </row>
    <row r="9" spans="1:14" s="81" customFormat="1" ht="18" customHeight="1">
      <c r="A9" s="378" t="s">
        <v>32</v>
      </c>
      <c r="B9" s="247">
        <v>13.7</v>
      </c>
      <c r="C9" s="72">
        <v>31</v>
      </c>
      <c r="D9" s="73">
        <v>35</v>
      </c>
      <c r="E9" s="88">
        <v>4.89</v>
      </c>
      <c r="F9" s="89">
        <v>6</v>
      </c>
      <c r="G9" s="89">
        <v>3</v>
      </c>
      <c r="H9" s="75">
        <v>630000</v>
      </c>
      <c r="I9" s="76">
        <f t="shared" si="0"/>
        <v>410000</v>
      </c>
      <c r="J9" s="82" t="s">
        <v>91</v>
      </c>
      <c r="K9" s="83"/>
      <c r="L9" s="84"/>
      <c r="M9" s="85">
        <v>3</v>
      </c>
      <c r="N9" s="75">
        <f>N12*8%</f>
        <v>480000</v>
      </c>
    </row>
    <row r="10" spans="1:14" s="81" customFormat="1" ht="18" customHeight="1">
      <c r="A10" s="378" t="s">
        <v>44</v>
      </c>
      <c r="B10" s="247">
        <v>16.2</v>
      </c>
      <c r="C10" s="72">
        <v>31</v>
      </c>
      <c r="D10" s="73">
        <v>33</v>
      </c>
      <c r="E10" s="74">
        <v>22.6</v>
      </c>
      <c r="F10" s="72">
        <v>7</v>
      </c>
      <c r="G10" s="72">
        <v>2</v>
      </c>
      <c r="H10" s="75">
        <v>510000</v>
      </c>
      <c r="I10" s="76">
        <f t="shared" si="0"/>
        <v>410000</v>
      </c>
      <c r="J10" s="82" t="s">
        <v>92</v>
      </c>
      <c r="K10" s="83"/>
      <c r="L10" s="84"/>
      <c r="M10" s="85">
        <v>2</v>
      </c>
      <c r="N10" s="75">
        <f>N12*6%</f>
        <v>360000</v>
      </c>
    </row>
    <row r="11" spans="1:14" s="81" customFormat="1" ht="18" customHeight="1">
      <c r="A11" s="378" t="s">
        <v>48</v>
      </c>
      <c r="B11" s="247">
        <v>8.5</v>
      </c>
      <c r="C11" s="72">
        <v>30</v>
      </c>
      <c r="D11" s="92">
        <v>30</v>
      </c>
      <c r="E11" s="88">
        <v>2.47</v>
      </c>
      <c r="F11" s="72">
        <v>8</v>
      </c>
      <c r="G11" s="72">
        <v>1</v>
      </c>
      <c r="H11" s="75">
        <v>390000</v>
      </c>
      <c r="I11" s="76">
        <f t="shared" si="0"/>
        <v>410000</v>
      </c>
      <c r="J11" s="82" t="s">
        <v>93</v>
      </c>
      <c r="K11" s="83"/>
      <c r="L11" s="84"/>
      <c r="M11" s="85">
        <v>1</v>
      </c>
      <c r="N11" s="75">
        <f>N12*4%</f>
        <v>240000</v>
      </c>
    </row>
    <row r="12" spans="1:14" s="81" customFormat="1" ht="18" customHeight="1">
      <c r="A12" s="378" t="s">
        <v>38</v>
      </c>
      <c r="B12" s="247">
        <v>14</v>
      </c>
      <c r="C12" s="72">
        <v>30</v>
      </c>
      <c r="D12" s="73">
        <v>33</v>
      </c>
      <c r="E12" s="74"/>
      <c r="F12" s="72"/>
      <c r="G12" s="72"/>
      <c r="H12" s="75">
        <f aca="true" t="shared" si="1" ref="H12:H28">I12</f>
        <v>50000</v>
      </c>
      <c r="I12" s="76">
        <f t="shared" si="0"/>
        <v>50000</v>
      </c>
      <c r="J12" s="90" t="s">
        <v>94</v>
      </c>
      <c r="K12" s="83"/>
      <c r="L12" s="84"/>
      <c r="M12" s="85"/>
      <c r="N12" s="91">
        <v>6000000</v>
      </c>
    </row>
    <row r="13" spans="1:14" s="81" customFormat="1" ht="18" customHeight="1">
      <c r="A13" s="378" t="s">
        <v>42</v>
      </c>
      <c r="B13" s="247">
        <v>19.7</v>
      </c>
      <c r="C13" s="12">
        <v>29</v>
      </c>
      <c r="D13" s="73">
        <v>37</v>
      </c>
      <c r="E13" s="74"/>
      <c r="F13" s="72"/>
      <c r="G13" s="72"/>
      <c r="H13" s="75">
        <f t="shared" si="1"/>
        <v>50000</v>
      </c>
      <c r="I13" s="76">
        <f t="shared" si="0"/>
        <v>50000</v>
      </c>
      <c r="J13" s="93" t="s">
        <v>95</v>
      </c>
      <c r="K13" s="94"/>
      <c r="L13" s="95"/>
      <c r="M13" s="96">
        <v>1</v>
      </c>
      <c r="N13" s="97">
        <f>N10</f>
        <v>360000</v>
      </c>
    </row>
    <row r="14" spans="1:14" s="81" customFormat="1" ht="18" customHeight="1">
      <c r="A14" s="378" t="s">
        <v>30</v>
      </c>
      <c r="B14" s="247">
        <v>9.6</v>
      </c>
      <c r="C14" s="72">
        <v>28</v>
      </c>
      <c r="D14" s="73">
        <v>33</v>
      </c>
      <c r="E14" s="74"/>
      <c r="F14" s="72"/>
      <c r="G14" s="72"/>
      <c r="H14" s="75">
        <f t="shared" si="1"/>
        <v>50000</v>
      </c>
      <c r="I14" s="76">
        <f t="shared" si="0"/>
        <v>50000</v>
      </c>
      <c r="J14" s="98"/>
      <c r="K14" s="94"/>
      <c r="L14" s="94"/>
      <c r="M14" s="99"/>
      <c r="N14" s="100"/>
    </row>
    <row r="15" spans="1:14" s="81" customFormat="1" ht="18" customHeight="1">
      <c r="A15" s="378" t="s">
        <v>40</v>
      </c>
      <c r="B15" s="247">
        <v>21</v>
      </c>
      <c r="C15" s="92">
        <v>28</v>
      </c>
      <c r="D15" s="92">
        <v>40</v>
      </c>
      <c r="E15" s="74"/>
      <c r="F15" s="72"/>
      <c r="G15" s="72"/>
      <c r="H15" s="75">
        <f t="shared" si="1"/>
        <v>50000</v>
      </c>
      <c r="I15" s="76">
        <f t="shared" si="0"/>
        <v>50000</v>
      </c>
      <c r="J15" s="101"/>
      <c r="K15" s="102"/>
      <c r="L15" s="102"/>
      <c r="M15" s="103"/>
      <c r="N15" s="104"/>
    </row>
    <row r="16" spans="1:9" s="81" customFormat="1" ht="18" customHeight="1">
      <c r="A16" s="378" t="s">
        <v>52</v>
      </c>
      <c r="B16" s="247">
        <v>12.4</v>
      </c>
      <c r="C16" s="73">
        <v>27</v>
      </c>
      <c r="D16" s="73">
        <v>32</v>
      </c>
      <c r="E16" s="88"/>
      <c r="F16" s="12"/>
      <c r="G16" s="12"/>
      <c r="H16" s="75">
        <f t="shared" si="1"/>
        <v>50000</v>
      </c>
      <c r="I16" s="76">
        <f t="shared" si="0"/>
        <v>50000</v>
      </c>
    </row>
    <row r="17" spans="1:13" s="81" customFormat="1" ht="18" customHeight="1">
      <c r="A17" s="378" t="s">
        <v>8</v>
      </c>
      <c r="B17" s="247">
        <v>20.2</v>
      </c>
      <c r="C17" s="72">
        <v>26</v>
      </c>
      <c r="D17" s="92">
        <v>44</v>
      </c>
      <c r="E17" s="74"/>
      <c r="F17" s="12"/>
      <c r="G17" s="12"/>
      <c r="H17" s="75">
        <f t="shared" si="1"/>
        <v>50000</v>
      </c>
      <c r="I17" s="76">
        <f aca="true" t="shared" si="2" ref="I17:I25">IF(E17&gt;0,$N$13,0)+IF(C17&gt;0,50000,0)+IF(C26&lt;0,50000,0)</f>
        <v>50000</v>
      </c>
      <c r="J17" s="86"/>
      <c r="K17" s="86"/>
      <c r="L17" s="86"/>
      <c r="M17" s="87"/>
    </row>
    <row r="18" spans="1:13" s="81" customFormat="1" ht="18" customHeight="1">
      <c r="A18" s="378" t="s">
        <v>50</v>
      </c>
      <c r="B18" s="247">
        <v>24.6</v>
      </c>
      <c r="C18" s="72">
        <v>24</v>
      </c>
      <c r="D18" s="73">
        <v>37</v>
      </c>
      <c r="E18" s="74"/>
      <c r="F18" s="72"/>
      <c r="G18" s="72"/>
      <c r="H18" s="75">
        <f t="shared" si="1"/>
        <v>50000</v>
      </c>
      <c r="I18" s="76">
        <f t="shared" si="2"/>
        <v>50000</v>
      </c>
      <c r="J18" s="87"/>
      <c r="K18" s="87"/>
      <c r="L18" s="87"/>
      <c r="M18" s="87"/>
    </row>
    <row r="19" spans="1:13" s="81" customFormat="1" ht="18" customHeight="1">
      <c r="A19" s="378" t="s">
        <v>22</v>
      </c>
      <c r="B19" s="247">
        <v>11.8</v>
      </c>
      <c r="C19" s="72">
        <v>23</v>
      </c>
      <c r="D19" s="92">
        <v>38</v>
      </c>
      <c r="E19" s="88"/>
      <c r="F19" s="72"/>
      <c r="G19" s="72"/>
      <c r="H19" s="75">
        <f t="shared" si="1"/>
        <v>50000</v>
      </c>
      <c r="I19" s="76">
        <f t="shared" si="2"/>
        <v>50000</v>
      </c>
      <c r="J19" s="87"/>
      <c r="K19" s="87"/>
      <c r="L19" s="87"/>
      <c r="M19" s="87"/>
    </row>
    <row r="20" spans="1:9" s="57" customFormat="1" ht="18" customHeight="1">
      <c r="A20" s="378" t="s">
        <v>18</v>
      </c>
      <c r="B20" s="247">
        <v>14.5</v>
      </c>
      <c r="C20" s="72" t="s">
        <v>157</v>
      </c>
      <c r="D20" s="92"/>
      <c r="E20" s="74"/>
      <c r="F20" s="12"/>
      <c r="G20" s="12"/>
      <c r="H20" s="75">
        <f t="shared" si="1"/>
        <v>50000</v>
      </c>
      <c r="I20" s="76">
        <f t="shared" si="2"/>
        <v>50000</v>
      </c>
    </row>
    <row r="21" spans="1:9" s="57" customFormat="1" ht="18" customHeight="1">
      <c r="A21" s="378"/>
      <c r="B21" s="247"/>
      <c r="C21" s="72"/>
      <c r="D21" s="73"/>
      <c r="E21" s="74"/>
      <c r="F21" s="12"/>
      <c r="G21" s="12"/>
      <c r="H21" s="75">
        <f t="shared" si="1"/>
        <v>0</v>
      </c>
      <c r="I21" s="76">
        <f t="shared" si="2"/>
        <v>0</v>
      </c>
    </row>
    <row r="22" spans="1:9" s="57" customFormat="1" ht="18" customHeight="1">
      <c r="A22" s="378"/>
      <c r="B22" s="247"/>
      <c r="C22" s="72"/>
      <c r="D22" s="92"/>
      <c r="E22" s="74"/>
      <c r="F22" s="12"/>
      <c r="G22" s="12"/>
      <c r="H22" s="75">
        <f t="shared" si="1"/>
        <v>0</v>
      </c>
      <c r="I22" s="76">
        <f t="shared" si="2"/>
        <v>0</v>
      </c>
    </row>
    <row r="23" spans="1:9" s="57" customFormat="1" ht="18" customHeight="1">
      <c r="A23" s="378"/>
      <c r="B23" s="247"/>
      <c r="C23" s="73"/>
      <c r="D23" s="73"/>
      <c r="E23" s="74"/>
      <c r="F23" s="12"/>
      <c r="G23" s="12"/>
      <c r="H23" s="75">
        <f t="shared" si="1"/>
        <v>0</v>
      </c>
      <c r="I23" s="76">
        <f t="shared" si="2"/>
        <v>0</v>
      </c>
    </row>
    <row r="24" spans="1:9" s="57" customFormat="1" ht="18" customHeight="1">
      <c r="A24" s="378"/>
      <c r="B24" s="247"/>
      <c r="C24" s="73"/>
      <c r="D24" s="73"/>
      <c r="E24" s="74"/>
      <c r="F24" s="12"/>
      <c r="G24" s="12"/>
      <c r="H24" s="75">
        <f t="shared" si="1"/>
        <v>0</v>
      </c>
      <c r="I24" s="76">
        <f t="shared" si="2"/>
        <v>0</v>
      </c>
    </row>
    <row r="25" spans="1:9" s="57" customFormat="1" ht="18" customHeight="1">
      <c r="A25" s="378"/>
      <c r="B25" s="247"/>
      <c r="C25" s="73"/>
      <c r="D25" s="73"/>
      <c r="E25" s="74"/>
      <c r="F25" s="12"/>
      <c r="G25" s="12"/>
      <c r="H25" s="75">
        <f t="shared" si="1"/>
        <v>0</v>
      </c>
      <c r="I25" s="76">
        <f t="shared" si="2"/>
        <v>0</v>
      </c>
    </row>
    <row r="26" spans="1:9" s="57" customFormat="1" ht="18" customHeight="1">
      <c r="A26" s="378"/>
      <c r="B26" s="247"/>
      <c r="C26" s="73"/>
      <c r="D26" s="73"/>
      <c r="E26" s="74"/>
      <c r="F26" s="12"/>
      <c r="G26" s="12"/>
      <c r="H26" s="75">
        <f t="shared" si="1"/>
        <v>0</v>
      </c>
      <c r="I26" s="76">
        <f t="shared" si="0"/>
        <v>0</v>
      </c>
    </row>
    <row r="27" spans="1:9" s="57" customFormat="1" ht="18" customHeight="1">
      <c r="A27" s="378"/>
      <c r="B27" s="247"/>
      <c r="C27" s="72"/>
      <c r="D27" s="73"/>
      <c r="E27" s="74"/>
      <c r="F27" s="72"/>
      <c r="G27" s="72"/>
      <c r="H27" s="75">
        <f t="shared" si="1"/>
        <v>0</v>
      </c>
      <c r="I27" s="76">
        <f t="shared" si="0"/>
        <v>0</v>
      </c>
    </row>
    <row r="28" spans="1:9" s="57" customFormat="1" ht="18" customHeight="1">
      <c r="A28" s="378"/>
      <c r="B28" s="247"/>
      <c r="C28" s="72"/>
      <c r="D28" s="92"/>
      <c r="E28" s="88"/>
      <c r="F28" s="72"/>
      <c r="G28" s="72"/>
      <c r="H28" s="75">
        <f t="shared" si="1"/>
        <v>0</v>
      </c>
      <c r="I28" s="76">
        <f t="shared" si="0"/>
        <v>0</v>
      </c>
    </row>
    <row r="29" spans="1:9" ht="24" customHeight="1">
      <c r="A29" s="1"/>
      <c r="B29" s="3"/>
      <c r="C29" s="106"/>
      <c r="D29" s="107">
        <f>SUM(D4:D28)</f>
        <v>562</v>
      </c>
      <c r="E29" s="106"/>
      <c r="F29" s="3"/>
      <c r="G29" s="108">
        <f>SUM(G4:G28)</f>
        <v>39</v>
      </c>
      <c r="H29" s="108">
        <f>SUM(H4:H28)</f>
        <v>7250000</v>
      </c>
      <c r="I29" s="109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9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54" customWidth="1"/>
    <col min="2" max="2" width="7.8515625" style="55" customWidth="1"/>
    <col min="3" max="3" width="8.421875" style="56" customWidth="1"/>
    <col min="4" max="4" width="6.8515625" style="55" customWidth="1"/>
    <col min="5" max="5" width="8.140625" style="55" customWidth="1"/>
    <col min="6" max="6" width="10.140625" style="55" customWidth="1"/>
    <col min="7" max="7" width="9.140625" style="55" customWidth="1"/>
    <col min="8" max="8" width="13.421875" style="55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57" customFormat="1" ht="43.5" customHeight="1">
      <c r="B1" s="435" t="s">
        <v>161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</row>
    <row r="2" spans="2:14" s="57" customFormat="1" ht="29.25" customHeight="1">
      <c r="B2" s="444" t="s">
        <v>171</v>
      </c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</row>
    <row r="3" spans="1:14" s="70" customFormat="1" ht="27" customHeight="1">
      <c r="A3" s="59" t="s">
        <v>77</v>
      </c>
      <c r="B3" s="60" t="s">
        <v>78</v>
      </c>
      <c r="C3" s="60" t="s">
        <v>79</v>
      </c>
      <c r="D3" s="60" t="s">
        <v>80</v>
      </c>
      <c r="E3" s="60" t="s">
        <v>81</v>
      </c>
      <c r="F3" s="61" t="s">
        <v>82</v>
      </c>
      <c r="G3" s="62" t="s">
        <v>83</v>
      </c>
      <c r="H3" s="63" t="s">
        <v>84</v>
      </c>
      <c r="I3" s="64"/>
      <c r="J3" s="65" t="s">
        <v>82</v>
      </c>
      <c r="K3" s="66"/>
      <c r="L3" s="67"/>
      <c r="M3" s="68" t="s">
        <v>83</v>
      </c>
      <c r="N3" s="69" t="s">
        <v>85</v>
      </c>
    </row>
    <row r="4" spans="1:14" s="81" customFormat="1" ht="18" customHeight="1">
      <c r="A4" s="378" t="s">
        <v>40</v>
      </c>
      <c r="B4" s="247">
        <v>21</v>
      </c>
      <c r="C4" s="73">
        <v>33</v>
      </c>
      <c r="D4" s="73">
        <v>37</v>
      </c>
      <c r="E4" s="74"/>
      <c r="F4" s="72">
        <v>1</v>
      </c>
      <c r="G4" s="72">
        <v>10</v>
      </c>
      <c r="H4" s="75">
        <f aca="true" t="shared" si="0" ref="H4:H11">N4+I4</f>
        <v>1550000</v>
      </c>
      <c r="I4" s="76">
        <f aca="true" t="shared" si="1" ref="I4:I28">IF(E4&gt;0,$N$13,0)+IF(C4&gt;0,50000,0)+IF(C12&lt;0,50000,0)</f>
        <v>50000</v>
      </c>
      <c r="J4" s="77" t="s">
        <v>86</v>
      </c>
      <c r="K4" s="78"/>
      <c r="L4" s="79"/>
      <c r="M4" s="80">
        <v>10</v>
      </c>
      <c r="N4" s="75">
        <f>N12*25%</f>
        <v>1500000</v>
      </c>
    </row>
    <row r="5" spans="1:14" s="81" customFormat="1" ht="18" customHeight="1">
      <c r="A5" s="378" t="s">
        <v>148</v>
      </c>
      <c r="B5" s="247">
        <v>10.8</v>
      </c>
      <c r="C5" s="72">
        <v>32</v>
      </c>
      <c r="D5" s="92">
        <v>32</v>
      </c>
      <c r="E5" s="74"/>
      <c r="F5" s="72">
        <v>2</v>
      </c>
      <c r="G5" s="72">
        <v>8</v>
      </c>
      <c r="H5" s="75">
        <f t="shared" si="0"/>
        <v>1250000</v>
      </c>
      <c r="I5" s="76">
        <f t="shared" si="1"/>
        <v>50000</v>
      </c>
      <c r="J5" s="82" t="s">
        <v>87</v>
      </c>
      <c r="K5" s="83"/>
      <c r="L5" s="84"/>
      <c r="M5" s="85">
        <v>8</v>
      </c>
      <c r="N5" s="75">
        <f>N12*20%</f>
        <v>1200000</v>
      </c>
    </row>
    <row r="6" spans="1:14" s="81" customFormat="1" ht="18" customHeight="1">
      <c r="A6" s="378" t="s">
        <v>14</v>
      </c>
      <c r="B6" s="247">
        <v>12.2</v>
      </c>
      <c r="C6" s="72">
        <v>32</v>
      </c>
      <c r="D6" s="73">
        <v>30</v>
      </c>
      <c r="E6" s="88"/>
      <c r="F6" s="72">
        <v>3</v>
      </c>
      <c r="G6" s="12">
        <v>6</v>
      </c>
      <c r="H6" s="75">
        <f t="shared" si="0"/>
        <v>950000</v>
      </c>
      <c r="I6" s="76">
        <f t="shared" si="1"/>
        <v>50000</v>
      </c>
      <c r="J6" s="82" t="s">
        <v>88</v>
      </c>
      <c r="K6" s="83"/>
      <c r="L6" s="84"/>
      <c r="M6" s="85">
        <v>6</v>
      </c>
      <c r="N6" s="75">
        <f>N12*15%</f>
        <v>900000</v>
      </c>
    </row>
    <row r="7" spans="1:18" s="81" customFormat="1" ht="18" customHeight="1">
      <c r="A7" s="378" t="s">
        <v>12</v>
      </c>
      <c r="B7" s="247">
        <v>16.3</v>
      </c>
      <c r="C7" s="12">
        <v>30</v>
      </c>
      <c r="D7" s="73">
        <v>35</v>
      </c>
      <c r="E7" s="74"/>
      <c r="F7" s="72">
        <v>4</v>
      </c>
      <c r="G7" s="72">
        <v>5</v>
      </c>
      <c r="H7" s="75">
        <f t="shared" si="0"/>
        <v>770000</v>
      </c>
      <c r="I7" s="76">
        <f t="shared" si="1"/>
        <v>50000</v>
      </c>
      <c r="J7" s="82" t="s">
        <v>89</v>
      </c>
      <c r="K7" s="83"/>
      <c r="L7" s="84"/>
      <c r="M7" s="85">
        <v>5</v>
      </c>
      <c r="N7" s="75">
        <f>N12*12%</f>
        <v>720000</v>
      </c>
      <c r="O7" s="86"/>
      <c r="P7" s="86"/>
      <c r="Q7" s="86"/>
      <c r="R7" s="87"/>
    </row>
    <row r="8" spans="1:14" s="81" customFormat="1" ht="18" customHeight="1">
      <c r="A8" s="378" t="s">
        <v>34</v>
      </c>
      <c r="B8" s="247">
        <v>14.8</v>
      </c>
      <c r="C8" s="12">
        <v>29</v>
      </c>
      <c r="D8" s="73">
        <v>34</v>
      </c>
      <c r="E8" s="74"/>
      <c r="F8" s="72">
        <v>5</v>
      </c>
      <c r="G8" s="72">
        <v>4</v>
      </c>
      <c r="H8" s="75">
        <f t="shared" si="0"/>
        <v>650000</v>
      </c>
      <c r="I8" s="76">
        <f t="shared" si="1"/>
        <v>50000</v>
      </c>
      <c r="J8" s="82" t="s">
        <v>90</v>
      </c>
      <c r="K8" s="83"/>
      <c r="L8" s="84"/>
      <c r="M8" s="85">
        <v>4</v>
      </c>
      <c r="N8" s="75">
        <f>N12*10%</f>
        <v>600000</v>
      </c>
    </row>
    <row r="9" spans="1:14" s="81" customFormat="1" ht="18" customHeight="1">
      <c r="A9" s="378" t="s">
        <v>48</v>
      </c>
      <c r="B9" s="247">
        <v>8.4</v>
      </c>
      <c r="C9" s="72">
        <v>28</v>
      </c>
      <c r="D9" s="92">
        <v>34</v>
      </c>
      <c r="E9" s="88"/>
      <c r="F9" s="72">
        <v>6</v>
      </c>
      <c r="G9" s="72">
        <v>3</v>
      </c>
      <c r="H9" s="75">
        <f t="shared" si="0"/>
        <v>530000</v>
      </c>
      <c r="I9" s="76">
        <f t="shared" si="1"/>
        <v>50000</v>
      </c>
      <c r="J9" s="82" t="s">
        <v>91</v>
      </c>
      <c r="K9" s="83"/>
      <c r="L9" s="84"/>
      <c r="M9" s="85">
        <v>3</v>
      </c>
      <c r="N9" s="75">
        <f>N12*8%</f>
        <v>480000</v>
      </c>
    </row>
    <row r="10" spans="1:14" s="81" customFormat="1" ht="18" customHeight="1">
      <c r="A10" s="378" t="s">
        <v>38</v>
      </c>
      <c r="B10" s="247">
        <v>13.9</v>
      </c>
      <c r="C10" s="73">
        <v>28</v>
      </c>
      <c r="D10" s="73">
        <v>32</v>
      </c>
      <c r="E10" s="88">
        <v>1.62</v>
      </c>
      <c r="F10" s="72">
        <v>7</v>
      </c>
      <c r="G10" s="72">
        <v>2</v>
      </c>
      <c r="H10" s="75">
        <f t="shared" si="0"/>
        <v>770000</v>
      </c>
      <c r="I10" s="76">
        <f t="shared" si="1"/>
        <v>410000</v>
      </c>
      <c r="J10" s="82" t="s">
        <v>92</v>
      </c>
      <c r="K10" s="83"/>
      <c r="L10" s="84"/>
      <c r="M10" s="85">
        <v>2</v>
      </c>
      <c r="N10" s="75">
        <f>N12*6%</f>
        <v>360000</v>
      </c>
    </row>
    <row r="11" spans="1:14" s="81" customFormat="1" ht="18" customHeight="1">
      <c r="A11" s="378" t="s">
        <v>26</v>
      </c>
      <c r="B11" s="247">
        <v>23</v>
      </c>
      <c r="C11" s="73">
        <v>27</v>
      </c>
      <c r="D11" s="73">
        <v>36</v>
      </c>
      <c r="E11" s="74"/>
      <c r="F11" s="72">
        <v>8</v>
      </c>
      <c r="G11" s="89">
        <v>1</v>
      </c>
      <c r="H11" s="75">
        <f t="shared" si="0"/>
        <v>290000</v>
      </c>
      <c r="I11" s="76">
        <f t="shared" si="1"/>
        <v>50000</v>
      </c>
      <c r="J11" s="82" t="s">
        <v>93</v>
      </c>
      <c r="K11" s="83"/>
      <c r="L11" s="84"/>
      <c r="M11" s="85">
        <v>1</v>
      </c>
      <c r="N11" s="75">
        <f>N12*4%</f>
        <v>240000</v>
      </c>
    </row>
    <row r="12" spans="1:14" s="81" customFormat="1" ht="18" customHeight="1">
      <c r="A12" s="378" t="s">
        <v>44</v>
      </c>
      <c r="B12" s="247">
        <v>16.1</v>
      </c>
      <c r="C12" s="12">
        <v>22</v>
      </c>
      <c r="D12" s="73">
        <v>42</v>
      </c>
      <c r="E12" s="88"/>
      <c r="F12" s="72"/>
      <c r="G12" s="72"/>
      <c r="H12" s="75">
        <f aca="true" t="shared" si="2" ref="H12:H28">I12</f>
        <v>50000</v>
      </c>
      <c r="I12" s="76">
        <f t="shared" si="1"/>
        <v>50000</v>
      </c>
      <c r="J12" s="90" t="s">
        <v>94</v>
      </c>
      <c r="K12" s="83"/>
      <c r="L12" s="84"/>
      <c r="M12" s="85"/>
      <c r="N12" s="91">
        <v>6000000</v>
      </c>
    </row>
    <row r="13" spans="1:14" s="81" customFormat="1" ht="18" customHeight="1">
      <c r="A13" s="378" t="s">
        <v>166</v>
      </c>
      <c r="B13" s="247">
        <v>14.4</v>
      </c>
      <c r="C13" s="72">
        <v>20</v>
      </c>
      <c r="D13" s="73">
        <v>33</v>
      </c>
      <c r="E13" s="74"/>
      <c r="F13" s="72"/>
      <c r="G13" s="72"/>
      <c r="H13" s="75">
        <f t="shared" si="2"/>
        <v>50000</v>
      </c>
      <c r="I13" s="76">
        <f t="shared" si="1"/>
        <v>50000</v>
      </c>
      <c r="J13" s="93" t="s">
        <v>95</v>
      </c>
      <c r="K13" s="94"/>
      <c r="L13" s="95"/>
      <c r="M13" s="96">
        <v>1</v>
      </c>
      <c r="N13" s="97">
        <f>N10</f>
        <v>360000</v>
      </c>
    </row>
    <row r="14" spans="1:14" s="81" customFormat="1" ht="18" customHeight="1">
      <c r="A14" s="378" t="s">
        <v>36</v>
      </c>
      <c r="B14" s="247">
        <v>18.9</v>
      </c>
      <c r="C14" s="73">
        <v>20</v>
      </c>
      <c r="D14" s="92">
        <v>43</v>
      </c>
      <c r="E14" s="88"/>
      <c r="F14" s="72"/>
      <c r="G14" s="72"/>
      <c r="H14" s="75">
        <f t="shared" si="2"/>
        <v>50000</v>
      </c>
      <c r="I14" s="76">
        <f t="shared" si="1"/>
        <v>50000</v>
      </c>
      <c r="J14" s="98"/>
      <c r="K14" s="94"/>
      <c r="L14" s="94"/>
      <c r="M14" s="99"/>
      <c r="N14" s="100"/>
    </row>
    <row r="15" spans="1:14" s="81" customFormat="1" ht="18" customHeight="1">
      <c r="A15" s="378"/>
      <c r="B15" s="247"/>
      <c r="C15" s="73"/>
      <c r="D15" s="92"/>
      <c r="E15" s="74"/>
      <c r="F15" s="72"/>
      <c r="G15" s="72"/>
      <c r="H15" s="75">
        <f t="shared" si="2"/>
        <v>0</v>
      </c>
      <c r="I15" s="76">
        <f t="shared" si="1"/>
        <v>0</v>
      </c>
      <c r="J15" s="101"/>
      <c r="K15" s="102"/>
      <c r="L15" s="102"/>
      <c r="M15" s="103"/>
      <c r="N15" s="104"/>
    </row>
    <row r="16" spans="1:9" s="81" customFormat="1" ht="18" customHeight="1">
      <c r="A16" s="378"/>
      <c r="B16" s="247"/>
      <c r="C16" s="12"/>
      <c r="D16" s="92"/>
      <c r="E16" s="74"/>
      <c r="F16" s="12"/>
      <c r="G16" s="12"/>
      <c r="H16" s="75">
        <f t="shared" si="2"/>
        <v>0</v>
      </c>
      <c r="I16" s="76">
        <f t="shared" si="1"/>
        <v>0</v>
      </c>
    </row>
    <row r="17" spans="1:13" s="81" customFormat="1" ht="18" customHeight="1">
      <c r="A17" s="378"/>
      <c r="B17" s="247"/>
      <c r="C17" s="73"/>
      <c r="D17" s="73"/>
      <c r="E17" s="88"/>
      <c r="F17" s="12"/>
      <c r="G17" s="12"/>
      <c r="H17" s="75">
        <f t="shared" si="2"/>
        <v>0</v>
      </c>
      <c r="I17" s="76">
        <f aca="true" t="shared" si="3" ref="I17:I25">IF(E17&gt;0,$N$13,0)+IF(C17&gt;0,50000,0)+IF(C26&lt;0,50000,0)</f>
        <v>0</v>
      </c>
      <c r="J17" s="86"/>
      <c r="K17" s="86"/>
      <c r="L17" s="86"/>
      <c r="M17" s="87"/>
    </row>
    <row r="18" spans="1:13" s="81" customFormat="1" ht="18" customHeight="1">
      <c r="A18" s="378"/>
      <c r="B18" s="247"/>
      <c r="C18" s="72"/>
      <c r="D18" s="73"/>
      <c r="E18" s="88"/>
      <c r="F18" s="72"/>
      <c r="G18" s="72"/>
      <c r="H18" s="75">
        <f t="shared" si="2"/>
        <v>0</v>
      </c>
      <c r="I18" s="76">
        <f t="shared" si="3"/>
        <v>0</v>
      </c>
      <c r="J18" s="87"/>
      <c r="K18" s="87"/>
      <c r="L18" s="87"/>
      <c r="M18" s="87"/>
    </row>
    <row r="19" spans="1:13" s="81" customFormat="1" ht="18" customHeight="1">
      <c r="A19" s="378"/>
      <c r="B19" s="247"/>
      <c r="C19" s="12"/>
      <c r="D19" s="73"/>
      <c r="E19" s="74"/>
      <c r="F19" s="72"/>
      <c r="G19" s="72"/>
      <c r="H19" s="75">
        <f t="shared" si="2"/>
        <v>0</v>
      </c>
      <c r="I19" s="76">
        <f t="shared" si="3"/>
        <v>0</v>
      </c>
      <c r="J19" s="87"/>
      <c r="K19" s="87"/>
      <c r="L19" s="87"/>
      <c r="M19" s="87"/>
    </row>
    <row r="20" spans="1:9" s="57" customFormat="1" ht="18" customHeight="1">
      <c r="A20" s="378"/>
      <c r="B20" s="247"/>
      <c r="C20" s="72"/>
      <c r="D20" s="92"/>
      <c r="E20" s="74"/>
      <c r="F20" s="12"/>
      <c r="G20" s="12"/>
      <c r="H20" s="75">
        <f t="shared" si="2"/>
        <v>0</v>
      </c>
      <c r="I20" s="76">
        <f t="shared" si="3"/>
        <v>0</v>
      </c>
    </row>
    <row r="21" spans="1:9" s="57" customFormat="1" ht="18" customHeight="1">
      <c r="A21" s="378"/>
      <c r="B21" s="247"/>
      <c r="C21" s="72"/>
      <c r="D21" s="73"/>
      <c r="E21" s="74"/>
      <c r="F21" s="12"/>
      <c r="G21" s="12"/>
      <c r="H21" s="75">
        <f t="shared" si="2"/>
        <v>0</v>
      </c>
      <c r="I21" s="76">
        <f t="shared" si="3"/>
        <v>0</v>
      </c>
    </row>
    <row r="22" spans="1:9" s="57" customFormat="1" ht="18" customHeight="1">
      <c r="A22" s="378"/>
      <c r="B22" s="247"/>
      <c r="C22" s="72"/>
      <c r="D22" s="73"/>
      <c r="E22" s="74"/>
      <c r="F22" s="12"/>
      <c r="G22" s="12"/>
      <c r="H22" s="75">
        <f t="shared" si="2"/>
        <v>0</v>
      </c>
      <c r="I22" s="76">
        <f t="shared" si="3"/>
        <v>0</v>
      </c>
    </row>
    <row r="23" spans="1:9" s="57" customFormat="1" ht="18" customHeight="1">
      <c r="A23" s="378"/>
      <c r="B23" s="247"/>
      <c r="C23" s="12"/>
      <c r="D23" s="73"/>
      <c r="E23" s="74"/>
      <c r="F23" s="12"/>
      <c r="G23" s="12"/>
      <c r="H23" s="75">
        <f t="shared" si="2"/>
        <v>0</v>
      </c>
      <c r="I23" s="76">
        <f t="shared" si="3"/>
        <v>0</v>
      </c>
    </row>
    <row r="24" spans="1:9" s="57" customFormat="1" ht="18" customHeight="1">
      <c r="A24" s="378"/>
      <c r="B24" s="247"/>
      <c r="C24" s="92"/>
      <c r="D24" s="92"/>
      <c r="E24" s="74"/>
      <c r="F24" s="12"/>
      <c r="G24" s="12"/>
      <c r="H24" s="75">
        <f t="shared" si="2"/>
        <v>0</v>
      </c>
      <c r="I24" s="76">
        <f t="shared" si="3"/>
        <v>0</v>
      </c>
    </row>
    <row r="25" spans="1:9" s="57" customFormat="1" ht="18" customHeight="1">
      <c r="A25" s="378"/>
      <c r="B25" s="247"/>
      <c r="C25" s="73"/>
      <c r="D25" s="92"/>
      <c r="E25" s="74"/>
      <c r="F25" s="12"/>
      <c r="G25" s="12"/>
      <c r="H25" s="75">
        <f t="shared" si="2"/>
        <v>0</v>
      </c>
      <c r="I25" s="76">
        <f t="shared" si="3"/>
        <v>0</v>
      </c>
    </row>
    <row r="26" spans="1:9" s="57" customFormat="1" ht="18" customHeight="1">
      <c r="A26" s="378"/>
      <c r="B26" s="247"/>
      <c r="C26" s="72"/>
      <c r="D26" s="92"/>
      <c r="E26" s="74"/>
      <c r="F26" s="12"/>
      <c r="G26" s="12"/>
      <c r="H26" s="75">
        <f t="shared" si="2"/>
        <v>0</v>
      </c>
      <c r="I26" s="76">
        <f t="shared" si="1"/>
        <v>0</v>
      </c>
    </row>
    <row r="27" spans="1:9" s="57" customFormat="1" ht="18" customHeight="1">
      <c r="A27" s="378"/>
      <c r="B27" s="247"/>
      <c r="C27" s="72"/>
      <c r="D27" s="73"/>
      <c r="E27" s="74"/>
      <c r="F27" s="72"/>
      <c r="G27" s="72"/>
      <c r="H27" s="75">
        <f t="shared" si="2"/>
        <v>0</v>
      </c>
      <c r="I27" s="76">
        <f t="shared" si="1"/>
        <v>0</v>
      </c>
    </row>
    <row r="28" spans="1:9" s="57" customFormat="1" ht="18" customHeight="1">
      <c r="A28" s="378"/>
      <c r="B28" s="247"/>
      <c r="C28" s="73"/>
      <c r="D28" s="73"/>
      <c r="E28" s="88"/>
      <c r="F28" s="72"/>
      <c r="G28" s="72"/>
      <c r="H28" s="75">
        <f t="shared" si="2"/>
        <v>0</v>
      </c>
      <c r="I28" s="76">
        <f t="shared" si="1"/>
        <v>0</v>
      </c>
    </row>
    <row r="29" spans="1:9" ht="24" customHeight="1">
      <c r="A29" s="1"/>
      <c r="B29" s="3"/>
      <c r="C29" s="106"/>
      <c r="D29" s="107">
        <f>SUM(D4:D28)</f>
        <v>388</v>
      </c>
      <c r="E29" s="106"/>
      <c r="F29" s="3"/>
      <c r="G29" s="108">
        <f>SUM(G4:G28)</f>
        <v>39</v>
      </c>
      <c r="H29" s="108">
        <f>SUM(H4:H28)</f>
        <v>6910000</v>
      </c>
      <c r="I29" s="109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9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54" customWidth="1"/>
    <col min="2" max="2" width="7.8515625" style="55" customWidth="1"/>
    <col min="3" max="3" width="8.421875" style="56" customWidth="1"/>
    <col min="4" max="4" width="6.8515625" style="55" customWidth="1"/>
    <col min="5" max="5" width="8.140625" style="55" customWidth="1"/>
    <col min="6" max="6" width="10.140625" style="55" customWidth="1"/>
    <col min="7" max="7" width="9.140625" style="55" customWidth="1"/>
    <col min="8" max="8" width="13.421875" style="55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57" customFormat="1" ht="43.5" customHeight="1">
      <c r="B1" s="435" t="s">
        <v>143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</row>
    <row r="2" spans="2:14" s="57" customFormat="1" ht="29.25" customHeight="1">
      <c r="B2" s="444" t="s">
        <v>227</v>
      </c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</row>
    <row r="3" spans="1:14" s="70" customFormat="1" ht="27" customHeight="1">
      <c r="A3" s="59" t="s">
        <v>77</v>
      </c>
      <c r="B3" s="60" t="s">
        <v>78</v>
      </c>
      <c r="C3" s="60" t="s">
        <v>79</v>
      </c>
      <c r="D3" s="60" t="s">
        <v>80</v>
      </c>
      <c r="E3" s="60" t="s">
        <v>81</v>
      </c>
      <c r="F3" s="61" t="s">
        <v>82</v>
      </c>
      <c r="G3" s="62" t="s">
        <v>83</v>
      </c>
      <c r="H3" s="63" t="s">
        <v>84</v>
      </c>
      <c r="I3" s="64"/>
      <c r="J3" s="65" t="s">
        <v>82</v>
      </c>
      <c r="K3" s="66"/>
      <c r="L3" s="67"/>
      <c r="M3" s="68" t="s">
        <v>83</v>
      </c>
      <c r="N3" s="69" t="s">
        <v>85</v>
      </c>
    </row>
    <row r="4" spans="1:14" s="81" customFormat="1" ht="18" customHeight="1">
      <c r="A4" s="378" t="s">
        <v>34</v>
      </c>
      <c r="B4" s="247">
        <v>16.5</v>
      </c>
      <c r="C4" s="12">
        <v>42</v>
      </c>
      <c r="D4" s="73">
        <v>32</v>
      </c>
      <c r="E4" s="74"/>
      <c r="F4" s="72">
        <v>1</v>
      </c>
      <c r="G4" s="72">
        <v>10</v>
      </c>
      <c r="H4" s="75">
        <f>N4+I4</f>
        <v>1550000</v>
      </c>
      <c r="I4" s="76">
        <f>IF(E4&gt;0,$N$13,0)+IF(C4&gt;0,50000,0)+IF(C12&lt;0,50000,0)</f>
        <v>50000</v>
      </c>
      <c r="J4" s="77" t="s">
        <v>86</v>
      </c>
      <c r="K4" s="78"/>
      <c r="L4" s="79"/>
      <c r="M4" s="80">
        <v>10</v>
      </c>
      <c r="N4" s="75">
        <f>N12*25%</f>
        <v>1500000</v>
      </c>
    </row>
    <row r="5" spans="1:14" s="81" customFormat="1" ht="18" customHeight="1">
      <c r="A5" s="378" t="s">
        <v>148</v>
      </c>
      <c r="B5" s="247">
        <v>11.2</v>
      </c>
      <c r="C5" s="12">
        <v>38</v>
      </c>
      <c r="D5" s="92">
        <v>28</v>
      </c>
      <c r="E5" s="74"/>
      <c r="F5" s="72">
        <v>2</v>
      </c>
      <c r="G5" s="72">
        <v>8</v>
      </c>
      <c r="H5" s="75">
        <f aca="true" t="shared" si="0" ref="H5:H11">N5+I5</f>
        <v>1250000</v>
      </c>
      <c r="I5" s="76">
        <f aca="true" t="shared" si="1" ref="I5:I11">IF(E5&gt;0,$N$13,0)+IF(C5&gt;0,50000,0)+IF(C13&lt;0,50000,0)</f>
        <v>50000</v>
      </c>
      <c r="J5" s="82" t="s">
        <v>87</v>
      </c>
      <c r="K5" s="83"/>
      <c r="L5" s="84"/>
      <c r="M5" s="85">
        <v>8</v>
      </c>
      <c r="N5" s="75">
        <f>N12*20%</f>
        <v>1200000</v>
      </c>
    </row>
    <row r="6" spans="1:14" s="81" customFormat="1" ht="18" customHeight="1">
      <c r="A6" s="378" t="s">
        <v>48</v>
      </c>
      <c r="B6" s="247">
        <v>8.6</v>
      </c>
      <c r="C6" s="92">
        <v>37</v>
      </c>
      <c r="D6" s="92">
        <v>33</v>
      </c>
      <c r="E6" s="74"/>
      <c r="F6" s="12">
        <v>3</v>
      </c>
      <c r="G6" s="12">
        <v>6</v>
      </c>
      <c r="H6" s="75">
        <f t="shared" si="0"/>
        <v>950000</v>
      </c>
      <c r="I6" s="76">
        <f t="shared" si="1"/>
        <v>50000</v>
      </c>
      <c r="J6" s="82" t="s">
        <v>88</v>
      </c>
      <c r="K6" s="83"/>
      <c r="L6" s="84"/>
      <c r="M6" s="85">
        <v>6</v>
      </c>
      <c r="N6" s="75">
        <f>N12*15%</f>
        <v>900000</v>
      </c>
    </row>
    <row r="7" spans="1:18" s="81" customFormat="1" ht="18" customHeight="1">
      <c r="A7" s="378" t="s">
        <v>8</v>
      </c>
      <c r="B7" s="247">
        <v>20.2</v>
      </c>
      <c r="C7" s="73">
        <v>36</v>
      </c>
      <c r="D7" s="73">
        <v>35</v>
      </c>
      <c r="E7" s="74"/>
      <c r="F7" s="72">
        <v>4</v>
      </c>
      <c r="G7" s="72">
        <v>5</v>
      </c>
      <c r="H7" s="75">
        <f t="shared" si="0"/>
        <v>770000</v>
      </c>
      <c r="I7" s="76">
        <f t="shared" si="1"/>
        <v>50000</v>
      </c>
      <c r="J7" s="82" t="s">
        <v>89</v>
      </c>
      <c r="K7" s="83"/>
      <c r="L7" s="84"/>
      <c r="M7" s="85">
        <v>5</v>
      </c>
      <c r="N7" s="75">
        <f>N12*12%</f>
        <v>720000</v>
      </c>
      <c r="O7" s="86"/>
      <c r="P7" s="86"/>
      <c r="Q7" s="86"/>
      <c r="R7" s="87"/>
    </row>
    <row r="8" spans="1:14" s="81" customFormat="1" ht="18" customHeight="1">
      <c r="A8" s="378" t="s">
        <v>10</v>
      </c>
      <c r="B8" s="247">
        <v>12.5</v>
      </c>
      <c r="C8" s="72">
        <v>35</v>
      </c>
      <c r="D8" s="73">
        <v>31</v>
      </c>
      <c r="E8" s="88"/>
      <c r="F8" s="72">
        <v>5</v>
      </c>
      <c r="G8" s="72">
        <v>4</v>
      </c>
      <c r="H8" s="75">
        <f t="shared" si="0"/>
        <v>650000</v>
      </c>
      <c r="I8" s="76">
        <f t="shared" si="1"/>
        <v>50000</v>
      </c>
      <c r="J8" s="82" t="s">
        <v>90</v>
      </c>
      <c r="K8" s="83"/>
      <c r="L8" s="84"/>
      <c r="M8" s="85">
        <v>4</v>
      </c>
      <c r="N8" s="75">
        <f>N12*10%</f>
        <v>600000</v>
      </c>
    </row>
    <row r="9" spans="1:14" s="81" customFormat="1" ht="18" customHeight="1">
      <c r="A9" s="378" t="s">
        <v>52</v>
      </c>
      <c r="B9" s="247">
        <v>12.4</v>
      </c>
      <c r="C9" s="72">
        <v>34</v>
      </c>
      <c r="D9" s="73">
        <v>33</v>
      </c>
      <c r="E9" s="74"/>
      <c r="F9" s="89">
        <v>6</v>
      </c>
      <c r="G9" s="89">
        <v>3</v>
      </c>
      <c r="H9" s="75">
        <f t="shared" si="0"/>
        <v>530000</v>
      </c>
      <c r="I9" s="76">
        <f t="shared" si="1"/>
        <v>50000</v>
      </c>
      <c r="J9" s="82" t="s">
        <v>91</v>
      </c>
      <c r="K9" s="83"/>
      <c r="L9" s="84"/>
      <c r="M9" s="85">
        <v>3</v>
      </c>
      <c r="N9" s="75">
        <f>N12*8%</f>
        <v>480000</v>
      </c>
    </row>
    <row r="10" spans="1:14" s="81" customFormat="1" ht="18" customHeight="1">
      <c r="A10" s="378" t="s">
        <v>50</v>
      </c>
      <c r="B10" s="247">
        <v>24.6</v>
      </c>
      <c r="C10" s="73">
        <v>34</v>
      </c>
      <c r="D10" s="73">
        <v>33</v>
      </c>
      <c r="E10" s="74"/>
      <c r="F10" s="72">
        <v>7</v>
      </c>
      <c r="G10" s="72">
        <v>2</v>
      </c>
      <c r="H10" s="75">
        <f t="shared" si="0"/>
        <v>410000</v>
      </c>
      <c r="I10" s="76">
        <f t="shared" si="1"/>
        <v>50000</v>
      </c>
      <c r="J10" s="82" t="s">
        <v>92</v>
      </c>
      <c r="K10" s="83"/>
      <c r="L10" s="84"/>
      <c r="M10" s="85">
        <v>2</v>
      </c>
      <c r="N10" s="75">
        <f>N12*6%</f>
        <v>360000</v>
      </c>
    </row>
    <row r="11" spans="1:14" s="81" customFormat="1" ht="18" customHeight="1">
      <c r="A11" s="378" t="s">
        <v>20</v>
      </c>
      <c r="B11" s="247">
        <v>16.5</v>
      </c>
      <c r="C11" s="72">
        <v>33</v>
      </c>
      <c r="D11" s="73">
        <v>32</v>
      </c>
      <c r="E11" s="74"/>
      <c r="F11" s="72">
        <v>8</v>
      </c>
      <c r="G11" s="72">
        <v>1</v>
      </c>
      <c r="H11" s="75">
        <f t="shared" si="0"/>
        <v>290000</v>
      </c>
      <c r="I11" s="76">
        <f t="shared" si="1"/>
        <v>50000</v>
      </c>
      <c r="J11" s="82" t="s">
        <v>93</v>
      </c>
      <c r="K11" s="83"/>
      <c r="L11" s="84"/>
      <c r="M11" s="85">
        <v>1</v>
      </c>
      <c r="N11" s="75">
        <f>N12*4%</f>
        <v>240000</v>
      </c>
    </row>
    <row r="12" spans="1:14" s="81" customFormat="1" ht="18" customHeight="1">
      <c r="A12" s="378" t="s">
        <v>28</v>
      </c>
      <c r="B12" s="247">
        <v>11.8</v>
      </c>
      <c r="C12" s="73">
        <v>32</v>
      </c>
      <c r="D12" s="73">
        <v>29</v>
      </c>
      <c r="E12" s="74"/>
      <c r="F12" s="72"/>
      <c r="G12" s="72"/>
      <c r="H12" s="75">
        <f>I12</f>
        <v>50000</v>
      </c>
      <c r="I12" s="76">
        <f>IF(E12&gt;0,$N$13,0)+IF(C12&gt;0,50000,0)+IF(C12&lt;0,50000,0)</f>
        <v>50000</v>
      </c>
      <c r="J12" s="90" t="s">
        <v>94</v>
      </c>
      <c r="K12" s="83"/>
      <c r="L12" s="84"/>
      <c r="M12" s="85"/>
      <c r="N12" s="91">
        <v>6000000</v>
      </c>
    </row>
    <row r="13" spans="1:14" s="81" customFormat="1" ht="18" customHeight="1">
      <c r="A13" s="378" t="s">
        <v>26</v>
      </c>
      <c r="B13" s="247">
        <v>23</v>
      </c>
      <c r="C13" s="72">
        <v>32</v>
      </c>
      <c r="D13" s="92">
        <v>35</v>
      </c>
      <c r="E13" s="88"/>
      <c r="F13" s="72"/>
      <c r="G13" s="72"/>
      <c r="H13" s="75">
        <f aca="true" t="shared" si="2" ref="H13:H28">I13</f>
        <v>50000</v>
      </c>
      <c r="I13" s="76">
        <f aca="true" t="shared" si="3" ref="I13:I28">IF(E13&gt;0,$N$13,0)+IF(C13&gt;0,50000,0)+IF(C13&lt;0,50000,0)</f>
        <v>50000</v>
      </c>
      <c r="J13" s="93" t="s">
        <v>95</v>
      </c>
      <c r="K13" s="94"/>
      <c r="L13" s="95"/>
      <c r="M13" s="96">
        <v>1</v>
      </c>
      <c r="N13" s="97">
        <f>N10</f>
        <v>360000</v>
      </c>
    </row>
    <row r="14" spans="1:14" s="81" customFormat="1" ht="18" customHeight="1">
      <c r="A14" s="378" t="s">
        <v>24</v>
      </c>
      <c r="B14" s="247">
        <v>13.1</v>
      </c>
      <c r="C14" s="72">
        <v>31</v>
      </c>
      <c r="D14" s="73">
        <v>33</v>
      </c>
      <c r="E14" s="74"/>
      <c r="F14" s="72"/>
      <c r="G14" s="72"/>
      <c r="H14" s="75">
        <f t="shared" si="2"/>
        <v>50000</v>
      </c>
      <c r="I14" s="76">
        <f t="shared" si="3"/>
        <v>50000</v>
      </c>
      <c r="J14" s="98"/>
      <c r="K14" s="94"/>
      <c r="L14" s="94"/>
      <c r="M14" s="99"/>
      <c r="N14" s="100"/>
    </row>
    <row r="15" spans="1:14" s="81" customFormat="1" ht="18" customHeight="1">
      <c r="A15" s="378" t="s">
        <v>42</v>
      </c>
      <c r="B15" s="247">
        <v>19.6</v>
      </c>
      <c r="C15" s="72">
        <v>31</v>
      </c>
      <c r="D15" s="73">
        <v>33</v>
      </c>
      <c r="E15" s="88"/>
      <c r="F15" s="72"/>
      <c r="G15" s="72"/>
      <c r="H15" s="75">
        <f t="shared" si="2"/>
        <v>50000</v>
      </c>
      <c r="I15" s="76">
        <f t="shared" si="3"/>
        <v>50000</v>
      </c>
      <c r="J15" s="101"/>
      <c r="K15" s="102"/>
      <c r="L15" s="102"/>
      <c r="M15" s="103"/>
      <c r="N15" s="104"/>
    </row>
    <row r="16" spans="1:9" s="81" customFormat="1" ht="18" customHeight="1">
      <c r="A16" s="378" t="s">
        <v>38</v>
      </c>
      <c r="B16" s="247">
        <v>13.6</v>
      </c>
      <c r="C16" s="72">
        <v>30</v>
      </c>
      <c r="D16" s="73">
        <v>35</v>
      </c>
      <c r="E16" s="88">
        <v>3.64</v>
      </c>
      <c r="F16" s="12"/>
      <c r="G16" s="12"/>
      <c r="H16" s="75">
        <f t="shared" si="2"/>
        <v>410000</v>
      </c>
      <c r="I16" s="76">
        <f t="shared" si="3"/>
        <v>410000</v>
      </c>
    </row>
    <row r="17" spans="1:13" s="81" customFormat="1" ht="18" customHeight="1">
      <c r="A17" s="378" t="s">
        <v>18</v>
      </c>
      <c r="B17" s="247">
        <v>14.3</v>
      </c>
      <c r="C17" s="72">
        <v>29</v>
      </c>
      <c r="D17" s="73">
        <v>31</v>
      </c>
      <c r="E17" s="74"/>
      <c r="F17" s="12"/>
      <c r="G17" s="12"/>
      <c r="H17" s="75">
        <f t="shared" si="2"/>
        <v>50000</v>
      </c>
      <c r="I17" s="76">
        <f t="shared" si="3"/>
        <v>50000</v>
      </c>
      <c r="J17" s="86"/>
      <c r="K17" s="86"/>
      <c r="L17" s="86"/>
      <c r="M17" s="87"/>
    </row>
    <row r="18" spans="1:13" s="81" customFormat="1" ht="18" customHeight="1">
      <c r="A18" s="378" t="s">
        <v>12</v>
      </c>
      <c r="B18" s="247">
        <v>16.2</v>
      </c>
      <c r="C18" s="72">
        <v>28</v>
      </c>
      <c r="D18" s="92">
        <v>35</v>
      </c>
      <c r="E18" s="88"/>
      <c r="F18" s="72"/>
      <c r="G18" s="72"/>
      <c r="H18" s="75">
        <f t="shared" si="2"/>
        <v>50000</v>
      </c>
      <c r="I18" s="76">
        <f t="shared" si="3"/>
        <v>50000</v>
      </c>
      <c r="J18" s="87"/>
      <c r="K18" s="87"/>
      <c r="L18" s="87"/>
      <c r="M18" s="87"/>
    </row>
    <row r="19" spans="1:13" s="81" customFormat="1" ht="18" customHeight="1">
      <c r="A19" s="378" t="s">
        <v>30</v>
      </c>
      <c r="B19" s="247">
        <v>10.1</v>
      </c>
      <c r="C19" s="73">
        <v>26</v>
      </c>
      <c r="D19" s="73">
        <v>36</v>
      </c>
      <c r="E19" s="74"/>
      <c r="F19" s="72"/>
      <c r="G19" s="72"/>
      <c r="H19" s="75">
        <f t="shared" si="2"/>
        <v>50000</v>
      </c>
      <c r="I19" s="76">
        <f t="shared" si="3"/>
        <v>50000</v>
      </c>
      <c r="J19" s="87"/>
      <c r="K19" s="87"/>
      <c r="L19" s="87"/>
      <c r="M19" s="87"/>
    </row>
    <row r="20" spans="1:9" s="57" customFormat="1" ht="18" customHeight="1">
      <c r="A20" s="378" t="s">
        <v>22</v>
      </c>
      <c r="B20" s="247">
        <v>11.7</v>
      </c>
      <c r="C20" s="72">
        <v>21</v>
      </c>
      <c r="D20" s="73">
        <v>40</v>
      </c>
      <c r="E20" s="74"/>
      <c r="F20" s="12"/>
      <c r="G20" s="12"/>
      <c r="H20" s="75">
        <f t="shared" si="2"/>
        <v>50000</v>
      </c>
      <c r="I20" s="76">
        <f t="shared" si="3"/>
        <v>50000</v>
      </c>
    </row>
    <row r="21" spans="1:9" s="57" customFormat="1" ht="18" customHeight="1">
      <c r="A21" s="378" t="s">
        <v>46</v>
      </c>
      <c r="B21" s="247">
        <v>21.1</v>
      </c>
      <c r="C21" s="92">
        <v>20</v>
      </c>
      <c r="D21" s="92">
        <v>43</v>
      </c>
      <c r="E21" s="74"/>
      <c r="F21" s="12"/>
      <c r="G21" s="12"/>
      <c r="H21" s="75">
        <f t="shared" si="2"/>
        <v>50000</v>
      </c>
      <c r="I21" s="76">
        <f t="shared" si="3"/>
        <v>50000</v>
      </c>
    </row>
    <row r="22" spans="1:9" s="57" customFormat="1" ht="18" customHeight="1">
      <c r="A22" s="378"/>
      <c r="B22" s="247"/>
      <c r="C22" s="72"/>
      <c r="D22" s="73"/>
      <c r="E22" s="74"/>
      <c r="F22" s="12"/>
      <c r="G22" s="12"/>
      <c r="H22" s="75">
        <f t="shared" si="2"/>
        <v>0</v>
      </c>
      <c r="I22" s="76">
        <f t="shared" si="3"/>
        <v>0</v>
      </c>
    </row>
    <row r="23" spans="1:9" s="57" customFormat="1" ht="18" customHeight="1">
      <c r="A23" s="378"/>
      <c r="B23" s="247"/>
      <c r="C23" s="72"/>
      <c r="D23" s="73"/>
      <c r="E23" s="74"/>
      <c r="F23" s="12"/>
      <c r="G23" s="12"/>
      <c r="H23" s="75">
        <f t="shared" si="2"/>
        <v>0</v>
      </c>
      <c r="I23" s="76">
        <f>IF(E23&gt;0,$N$13,0)+IF(C23&gt;0,50000,0)+IF(C23&lt;0,50000,0)</f>
        <v>0</v>
      </c>
    </row>
    <row r="24" spans="1:9" s="57" customFormat="1" ht="18" customHeight="1">
      <c r="A24" s="378"/>
      <c r="B24" s="247"/>
      <c r="C24" s="73"/>
      <c r="D24" s="92"/>
      <c r="E24" s="88"/>
      <c r="F24" s="12"/>
      <c r="G24" s="12"/>
      <c r="H24" s="75">
        <f t="shared" si="2"/>
        <v>0</v>
      </c>
      <c r="I24" s="76">
        <f t="shared" si="3"/>
        <v>0</v>
      </c>
    </row>
    <row r="25" spans="1:9" s="57" customFormat="1" ht="18" customHeight="1">
      <c r="A25" s="378"/>
      <c r="B25" s="247"/>
      <c r="C25" s="72"/>
      <c r="D25" s="73"/>
      <c r="E25" s="88"/>
      <c r="F25" s="12"/>
      <c r="G25" s="12"/>
      <c r="H25" s="75">
        <f t="shared" si="2"/>
        <v>0</v>
      </c>
      <c r="I25" s="76"/>
    </row>
    <row r="26" spans="1:9" s="57" customFormat="1" ht="18" customHeight="1">
      <c r="A26" s="378"/>
      <c r="B26" s="247"/>
      <c r="C26" s="73"/>
      <c r="D26" s="92"/>
      <c r="E26" s="88"/>
      <c r="F26" s="12"/>
      <c r="G26" s="12"/>
      <c r="H26" s="75">
        <f t="shared" si="2"/>
        <v>0</v>
      </c>
      <c r="I26" s="76">
        <f t="shared" si="3"/>
        <v>0</v>
      </c>
    </row>
    <row r="27" spans="1:9" s="57" customFormat="1" ht="18" customHeight="1">
      <c r="A27" s="378"/>
      <c r="B27" s="247"/>
      <c r="C27" s="72"/>
      <c r="D27" s="92"/>
      <c r="E27" s="88"/>
      <c r="F27" s="72"/>
      <c r="G27" s="72"/>
      <c r="H27" s="75">
        <f t="shared" si="2"/>
        <v>0</v>
      </c>
      <c r="I27" s="76">
        <f t="shared" si="3"/>
        <v>0</v>
      </c>
    </row>
    <row r="28" spans="1:9" s="57" customFormat="1" ht="18" customHeight="1">
      <c r="A28" s="378"/>
      <c r="B28" s="247"/>
      <c r="C28" s="72"/>
      <c r="D28" s="92"/>
      <c r="E28" s="74"/>
      <c r="F28" s="72"/>
      <c r="G28" s="72"/>
      <c r="H28" s="75">
        <f t="shared" si="2"/>
        <v>0</v>
      </c>
      <c r="I28" s="76">
        <f t="shared" si="3"/>
        <v>0</v>
      </c>
    </row>
    <row r="29" spans="1:9" ht="24" customHeight="1">
      <c r="A29" s="1"/>
      <c r="B29" s="3"/>
      <c r="C29" s="106"/>
      <c r="D29" s="107">
        <f>SUM(D4:D28)</f>
        <v>607</v>
      </c>
      <c r="E29" s="106"/>
      <c r="F29" s="3"/>
      <c r="G29" s="108">
        <f>SUM(G4:G28)</f>
        <v>39</v>
      </c>
      <c r="H29" s="108">
        <f>SUM(H4:H28)</f>
        <v>7260000</v>
      </c>
      <c r="I29" s="109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54" customWidth="1"/>
    <col min="2" max="2" width="7.8515625" style="55" customWidth="1"/>
    <col min="3" max="3" width="8.421875" style="56" customWidth="1"/>
    <col min="4" max="4" width="6.8515625" style="55" customWidth="1"/>
    <col min="5" max="5" width="8.140625" style="55" customWidth="1"/>
    <col min="6" max="6" width="10.140625" style="55" customWidth="1"/>
    <col min="7" max="7" width="9.140625" style="55" customWidth="1"/>
    <col min="8" max="8" width="13.421875" style="55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57" customFormat="1" ht="43.5" customHeight="1">
      <c r="B1" s="435" t="s">
        <v>109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</row>
    <row r="2" spans="2:14" s="57" customFormat="1" ht="29.25" customHeight="1">
      <c r="B2" s="444" t="s">
        <v>226</v>
      </c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</row>
    <row r="3" spans="1:14" s="70" customFormat="1" ht="27" customHeight="1">
      <c r="A3" s="59" t="s">
        <v>77</v>
      </c>
      <c r="B3" s="60" t="s">
        <v>78</v>
      </c>
      <c r="C3" s="60" t="s">
        <v>79</v>
      </c>
      <c r="D3" s="60" t="s">
        <v>80</v>
      </c>
      <c r="E3" s="60" t="s">
        <v>81</v>
      </c>
      <c r="F3" s="61" t="s">
        <v>82</v>
      </c>
      <c r="G3" s="62" t="s">
        <v>83</v>
      </c>
      <c r="H3" s="63" t="s">
        <v>84</v>
      </c>
      <c r="I3" s="64"/>
      <c r="J3" s="65" t="s">
        <v>82</v>
      </c>
      <c r="K3" s="66"/>
      <c r="L3" s="67"/>
      <c r="M3" s="68" t="s">
        <v>83</v>
      </c>
      <c r="N3" s="69" t="s">
        <v>85</v>
      </c>
    </row>
    <row r="4" spans="1:14" s="81" customFormat="1" ht="18" customHeight="1">
      <c r="A4" s="378" t="s">
        <v>148</v>
      </c>
      <c r="B4" s="247">
        <v>12.1</v>
      </c>
      <c r="C4" s="72">
        <v>68</v>
      </c>
      <c r="D4" s="92">
        <v>27</v>
      </c>
      <c r="E4" s="74"/>
      <c r="F4" s="72">
        <v>1</v>
      </c>
      <c r="G4" s="72">
        <v>10</v>
      </c>
      <c r="H4" s="75">
        <f aca="true" t="shared" si="0" ref="H4:H11">N4+I4</f>
        <v>1550000</v>
      </c>
      <c r="I4" s="76">
        <f>IF(E4&gt;0,$N$13,0)+IF(C4&gt;0,50000,0)+IF(C12&lt;0,50000,0)</f>
        <v>50000</v>
      </c>
      <c r="J4" s="77" t="s">
        <v>86</v>
      </c>
      <c r="K4" s="78"/>
      <c r="L4" s="79"/>
      <c r="M4" s="80">
        <v>10</v>
      </c>
      <c r="N4" s="75">
        <f>N12*25%</f>
        <v>1500000</v>
      </c>
    </row>
    <row r="5" spans="1:14" s="81" customFormat="1" ht="18" customHeight="1">
      <c r="A5" s="378" t="s">
        <v>22</v>
      </c>
      <c r="B5" s="247">
        <v>12.3</v>
      </c>
      <c r="C5" s="72">
        <v>70</v>
      </c>
      <c r="D5" s="73">
        <v>27</v>
      </c>
      <c r="E5" s="74"/>
      <c r="F5" s="72">
        <v>2</v>
      </c>
      <c r="G5" s="72">
        <v>8</v>
      </c>
      <c r="H5" s="75">
        <f t="shared" si="0"/>
        <v>1250000</v>
      </c>
      <c r="I5" s="76">
        <f aca="true" t="shared" si="1" ref="I5:I11">IF(E5&gt;0,$N$13,0)+IF(C5&gt;0,50000,0)+IF(C13&lt;0,50000,0)</f>
        <v>50000</v>
      </c>
      <c r="J5" s="82" t="s">
        <v>87</v>
      </c>
      <c r="K5" s="83"/>
      <c r="L5" s="84"/>
      <c r="M5" s="85">
        <v>8</v>
      </c>
      <c r="N5" s="75">
        <f>N12*20%</f>
        <v>1200000</v>
      </c>
    </row>
    <row r="6" spans="1:14" s="81" customFormat="1" ht="18" customHeight="1">
      <c r="A6" s="378" t="s">
        <v>46</v>
      </c>
      <c r="B6" s="247">
        <v>21.8</v>
      </c>
      <c r="C6" s="92">
        <v>70</v>
      </c>
      <c r="D6" s="92">
        <v>34</v>
      </c>
      <c r="E6" s="74"/>
      <c r="F6" s="12">
        <v>3</v>
      </c>
      <c r="G6" s="12">
        <v>6</v>
      </c>
      <c r="H6" s="75">
        <f>N6+I6</f>
        <v>950000</v>
      </c>
      <c r="I6" s="76">
        <f t="shared" si="1"/>
        <v>50000</v>
      </c>
      <c r="J6" s="82" t="s">
        <v>88</v>
      </c>
      <c r="K6" s="83"/>
      <c r="L6" s="84"/>
      <c r="M6" s="85">
        <v>6</v>
      </c>
      <c r="N6" s="75">
        <f>N12*15%</f>
        <v>900000</v>
      </c>
    </row>
    <row r="7" spans="1:18" s="81" customFormat="1" ht="18" customHeight="1">
      <c r="A7" s="378" t="s">
        <v>30</v>
      </c>
      <c r="B7" s="247">
        <v>10.2</v>
      </c>
      <c r="C7" s="72">
        <v>71</v>
      </c>
      <c r="D7" s="92">
        <v>30</v>
      </c>
      <c r="E7" s="88"/>
      <c r="F7" s="72">
        <v>4</v>
      </c>
      <c r="G7" s="72">
        <v>5</v>
      </c>
      <c r="H7" s="75">
        <f t="shared" si="0"/>
        <v>770000</v>
      </c>
      <c r="I7" s="76">
        <f t="shared" si="1"/>
        <v>50000</v>
      </c>
      <c r="J7" s="82" t="s">
        <v>89</v>
      </c>
      <c r="K7" s="83"/>
      <c r="L7" s="84"/>
      <c r="M7" s="85">
        <v>5</v>
      </c>
      <c r="N7" s="75">
        <f>N12*12%</f>
        <v>720000</v>
      </c>
      <c r="O7" s="86"/>
      <c r="P7" s="86"/>
      <c r="Q7" s="86"/>
      <c r="R7" s="87"/>
    </row>
    <row r="8" spans="1:14" s="81" customFormat="1" ht="18" customHeight="1">
      <c r="A8" s="378" t="s">
        <v>28</v>
      </c>
      <c r="B8" s="247">
        <v>11.8</v>
      </c>
      <c r="C8" s="72">
        <v>71</v>
      </c>
      <c r="D8" s="92">
        <v>34</v>
      </c>
      <c r="E8" s="74"/>
      <c r="F8" s="72">
        <v>5</v>
      </c>
      <c r="G8" s="72">
        <v>4</v>
      </c>
      <c r="H8" s="75">
        <f t="shared" si="0"/>
        <v>650000</v>
      </c>
      <c r="I8" s="76">
        <f t="shared" si="1"/>
        <v>50000</v>
      </c>
      <c r="J8" s="82" t="s">
        <v>90</v>
      </c>
      <c r="K8" s="83"/>
      <c r="L8" s="84"/>
      <c r="M8" s="85">
        <v>4</v>
      </c>
      <c r="N8" s="75">
        <f>N12*10%</f>
        <v>600000</v>
      </c>
    </row>
    <row r="9" spans="1:14" s="81" customFormat="1" ht="18" customHeight="1">
      <c r="A9" s="378" t="s">
        <v>48</v>
      </c>
      <c r="B9" s="247">
        <v>8.5</v>
      </c>
      <c r="C9" s="72">
        <v>72</v>
      </c>
      <c r="D9" s="92">
        <v>29</v>
      </c>
      <c r="E9" s="74"/>
      <c r="F9" s="89">
        <v>6</v>
      </c>
      <c r="G9" s="89">
        <v>3</v>
      </c>
      <c r="H9" s="75">
        <f t="shared" si="0"/>
        <v>530000</v>
      </c>
      <c r="I9" s="76">
        <f t="shared" si="1"/>
        <v>50000</v>
      </c>
      <c r="J9" s="82" t="s">
        <v>91</v>
      </c>
      <c r="K9" s="83"/>
      <c r="L9" s="84"/>
      <c r="M9" s="85">
        <v>3</v>
      </c>
      <c r="N9" s="75">
        <f>N12*8%</f>
        <v>480000</v>
      </c>
    </row>
    <row r="10" spans="1:14" s="81" customFormat="1" ht="18" customHeight="1">
      <c r="A10" s="378" t="s">
        <v>34</v>
      </c>
      <c r="B10" s="247">
        <v>16.4</v>
      </c>
      <c r="C10" s="72">
        <v>72</v>
      </c>
      <c r="D10" s="73">
        <v>29</v>
      </c>
      <c r="E10" s="88"/>
      <c r="F10" s="72">
        <v>7</v>
      </c>
      <c r="G10" s="72">
        <v>2</v>
      </c>
      <c r="H10" s="75">
        <f t="shared" si="0"/>
        <v>410000</v>
      </c>
      <c r="I10" s="76">
        <f t="shared" si="1"/>
        <v>50000</v>
      </c>
      <c r="J10" s="82" t="s">
        <v>92</v>
      </c>
      <c r="K10" s="83"/>
      <c r="L10" s="84"/>
      <c r="M10" s="85">
        <v>2</v>
      </c>
      <c r="N10" s="75">
        <f>N12*6%</f>
        <v>360000</v>
      </c>
    </row>
    <row r="11" spans="1:14" s="81" customFormat="1" ht="18" customHeight="1">
      <c r="A11" s="378" t="s">
        <v>42</v>
      </c>
      <c r="B11" s="247">
        <v>19.6</v>
      </c>
      <c r="C11" s="73">
        <v>72</v>
      </c>
      <c r="D11" s="73">
        <v>34</v>
      </c>
      <c r="E11" s="74"/>
      <c r="F11" s="72">
        <v>8</v>
      </c>
      <c r="G11" s="72">
        <v>1</v>
      </c>
      <c r="H11" s="75">
        <f t="shared" si="0"/>
        <v>290000</v>
      </c>
      <c r="I11" s="76">
        <f t="shared" si="1"/>
        <v>50000</v>
      </c>
      <c r="J11" s="82" t="s">
        <v>93</v>
      </c>
      <c r="K11" s="83"/>
      <c r="L11" s="84"/>
      <c r="M11" s="85">
        <v>1</v>
      </c>
      <c r="N11" s="75">
        <f>N12*4%</f>
        <v>240000</v>
      </c>
    </row>
    <row r="12" spans="1:14" s="81" customFormat="1" ht="18" customHeight="1">
      <c r="A12" s="378" t="s">
        <v>8</v>
      </c>
      <c r="B12" s="247">
        <v>20.2</v>
      </c>
      <c r="C12" s="72">
        <v>72</v>
      </c>
      <c r="D12" s="73">
        <v>33</v>
      </c>
      <c r="E12" s="74"/>
      <c r="F12" s="72"/>
      <c r="G12" s="72"/>
      <c r="H12" s="75">
        <f>I12</f>
        <v>50000</v>
      </c>
      <c r="I12" s="76">
        <f>IF(E12&gt;0,$N$13,0)+IF(C12&gt;0,50000,0)+IF(C12&lt;0,50000,0)</f>
        <v>50000</v>
      </c>
      <c r="J12" s="90" t="s">
        <v>94</v>
      </c>
      <c r="K12" s="83"/>
      <c r="L12" s="84"/>
      <c r="M12" s="85"/>
      <c r="N12" s="91">
        <v>6000000</v>
      </c>
    </row>
    <row r="13" spans="1:14" s="81" customFormat="1" ht="18" customHeight="1">
      <c r="A13" s="378" t="s">
        <v>52</v>
      </c>
      <c r="B13" s="247">
        <v>12.3</v>
      </c>
      <c r="C13" s="73">
        <v>75</v>
      </c>
      <c r="D13" s="73">
        <v>31</v>
      </c>
      <c r="E13" s="88"/>
      <c r="F13" s="72"/>
      <c r="G13" s="72"/>
      <c r="H13" s="75">
        <f aca="true" t="shared" si="2" ref="H13:H28">I13</f>
        <v>50000</v>
      </c>
      <c r="I13" s="76">
        <f aca="true" t="shared" si="3" ref="I13:I28">IF(E13&gt;0,$N$13,0)+IF(C13&gt;0,50000,0)+IF(C13&lt;0,50000,0)</f>
        <v>50000</v>
      </c>
      <c r="J13" s="93" t="s">
        <v>95</v>
      </c>
      <c r="K13" s="94"/>
      <c r="L13" s="95"/>
      <c r="M13" s="96">
        <v>1</v>
      </c>
      <c r="N13" s="97">
        <f>N10</f>
        <v>360000</v>
      </c>
    </row>
    <row r="14" spans="1:14" s="81" customFormat="1" ht="18" customHeight="1">
      <c r="A14" s="378" t="s">
        <v>26</v>
      </c>
      <c r="B14" s="247">
        <v>23</v>
      </c>
      <c r="C14" s="73">
        <v>75</v>
      </c>
      <c r="D14" s="73">
        <v>33</v>
      </c>
      <c r="E14" s="88">
        <v>8.1</v>
      </c>
      <c r="F14" s="72"/>
      <c r="G14" s="72"/>
      <c r="H14" s="75">
        <f t="shared" si="2"/>
        <v>410000</v>
      </c>
      <c r="I14" s="76">
        <f t="shared" si="3"/>
        <v>410000</v>
      </c>
      <c r="J14" s="98"/>
      <c r="K14" s="94"/>
      <c r="L14" s="94"/>
      <c r="M14" s="99"/>
      <c r="N14" s="100"/>
    </row>
    <row r="15" spans="1:14" s="81" customFormat="1" ht="18" customHeight="1">
      <c r="A15" s="378" t="s">
        <v>40</v>
      </c>
      <c r="B15" s="247">
        <v>21</v>
      </c>
      <c r="C15" s="72">
        <v>76</v>
      </c>
      <c r="D15" s="92">
        <v>35</v>
      </c>
      <c r="E15" s="74"/>
      <c r="F15" s="72"/>
      <c r="G15" s="72"/>
      <c r="H15" s="75">
        <f t="shared" si="2"/>
        <v>50000</v>
      </c>
      <c r="I15" s="76">
        <f t="shared" si="3"/>
        <v>50000</v>
      </c>
      <c r="J15" s="101"/>
      <c r="K15" s="102"/>
      <c r="L15" s="102"/>
      <c r="M15" s="103"/>
      <c r="N15" s="104"/>
    </row>
    <row r="16" spans="1:9" s="81" customFormat="1" ht="18" customHeight="1">
      <c r="A16" s="378" t="s">
        <v>20</v>
      </c>
      <c r="B16" s="247">
        <v>16.4</v>
      </c>
      <c r="C16" s="12">
        <v>78</v>
      </c>
      <c r="D16" s="73">
        <v>32</v>
      </c>
      <c r="E16" s="74"/>
      <c r="F16" s="12"/>
      <c r="G16" s="12"/>
      <c r="H16" s="75">
        <f t="shared" si="2"/>
        <v>50000</v>
      </c>
      <c r="I16" s="76">
        <f t="shared" si="3"/>
        <v>50000</v>
      </c>
    </row>
    <row r="17" spans="1:13" s="81" customFormat="1" ht="18" customHeight="1">
      <c r="A17" s="378" t="s">
        <v>10</v>
      </c>
      <c r="B17" s="247">
        <v>12.4</v>
      </c>
      <c r="C17" s="73">
        <v>80</v>
      </c>
      <c r="D17" s="92">
        <v>30</v>
      </c>
      <c r="E17" s="74"/>
      <c r="F17" s="12"/>
      <c r="G17" s="12"/>
      <c r="H17" s="75">
        <f t="shared" si="2"/>
        <v>50000</v>
      </c>
      <c r="I17" s="76">
        <f t="shared" si="3"/>
        <v>50000</v>
      </c>
      <c r="J17" s="86"/>
      <c r="K17" s="86"/>
      <c r="L17" s="86"/>
      <c r="M17" s="87"/>
    </row>
    <row r="18" spans="1:13" s="81" customFormat="1" ht="18" customHeight="1">
      <c r="A18" s="378" t="s">
        <v>50</v>
      </c>
      <c r="B18" s="247">
        <v>24.5</v>
      </c>
      <c r="C18" s="73">
        <v>80</v>
      </c>
      <c r="D18" s="73">
        <v>35</v>
      </c>
      <c r="E18" s="88"/>
      <c r="F18" s="72"/>
      <c r="G18" s="72"/>
      <c r="H18" s="75">
        <f t="shared" si="2"/>
        <v>50000</v>
      </c>
      <c r="I18" s="76">
        <f t="shared" si="3"/>
        <v>50000</v>
      </c>
      <c r="J18" s="87"/>
      <c r="K18" s="87"/>
      <c r="L18" s="87"/>
      <c r="M18" s="87"/>
    </row>
    <row r="19" spans="1:13" s="81" customFormat="1" ht="18" customHeight="1">
      <c r="A19" s="378" t="s">
        <v>38</v>
      </c>
      <c r="B19" s="247">
        <v>13.5</v>
      </c>
      <c r="C19" s="73">
        <v>84</v>
      </c>
      <c r="D19" s="73">
        <v>36</v>
      </c>
      <c r="E19" s="74"/>
      <c r="F19" s="72"/>
      <c r="G19" s="72"/>
      <c r="H19" s="75">
        <f t="shared" si="2"/>
        <v>50000</v>
      </c>
      <c r="I19" s="76">
        <f t="shared" si="3"/>
        <v>50000</v>
      </c>
      <c r="J19" s="87"/>
      <c r="K19" s="87"/>
      <c r="L19" s="87"/>
      <c r="M19" s="87"/>
    </row>
    <row r="20" spans="1:9" s="57" customFormat="1" ht="18" customHeight="1">
      <c r="A20" s="378" t="s">
        <v>18</v>
      </c>
      <c r="B20" s="247">
        <v>14.2</v>
      </c>
      <c r="C20" s="72">
        <v>84</v>
      </c>
      <c r="D20" s="73">
        <v>35</v>
      </c>
      <c r="E20" s="88"/>
      <c r="F20" s="12"/>
      <c r="G20" s="12"/>
      <c r="H20" s="75">
        <f t="shared" si="2"/>
        <v>50000</v>
      </c>
      <c r="I20" s="76">
        <f t="shared" si="3"/>
        <v>50000</v>
      </c>
    </row>
    <row r="21" spans="1:9" s="57" customFormat="1" ht="18" customHeight="1">
      <c r="A21" s="378" t="s">
        <v>166</v>
      </c>
      <c r="B21" s="247">
        <v>14.3</v>
      </c>
      <c r="C21" s="72">
        <v>84</v>
      </c>
      <c r="D21" s="73">
        <v>36</v>
      </c>
      <c r="E21" s="88"/>
      <c r="F21" s="12"/>
      <c r="G21" s="12"/>
      <c r="H21" s="75">
        <f t="shared" si="2"/>
        <v>50000</v>
      </c>
      <c r="I21" s="76">
        <f t="shared" si="3"/>
        <v>50000</v>
      </c>
    </row>
    <row r="22" spans="1:9" s="57" customFormat="1" ht="18" customHeight="1">
      <c r="A22" s="378" t="s">
        <v>36</v>
      </c>
      <c r="B22" s="247">
        <v>18.6</v>
      </c>
      <c r="C22" s="72">
        <v>86</v>
      </c>
      <c r="D22" s="73">
        <v>33</v>
      </c>
      <c r="E22" s="88"/>
      <c r="F22" s="12"/>
      <c r="G22" s="12"/>
      <c r="H22" s="75">
        <f t="shared" si="2"/>
        <v>50000</v>
      </c>
      <c r="I22" s="76">
        <f t="shared" si="3"/>
        <v>50000</v>
      </c>
    </row>
    <row r="23" spans="1:9" s="57" customFormat="1" ht="18" customHeight="1">
      <c r="A23" s="378"/>
      <c r="B23" s="247"/>
      <c r="C23" s="73"/>
      <c r="D23" s="73"/>
      <c r="E23" s="88"/>
      <c r="F23" s="12"/>
      <c r="G23" s="12"/>
      <c r="H23" s="75">
        <f>I23</f>
        <v>0</v>
      </c>
      <c r="I23" s="76"/>
    </row>
    <row r="24" spans="1:9" s="57" customFormat="1" ht="18" customHeight="1">
      <c r="A24" s="378"/>
      <c r="B24" s="247"/>
      <c r="C24" s="72"/>
      <c r="D24" s="92"/>
      <c r="E24" s="74"/>
      <c r="F24" s="12"/>
      <c r="G24" s="12"/>
      <c r="H24" s="75">
        <f t="shared" si="2"/>
        <v>0</v>
      </c>
      <c r="I24" s="76">
        <f t="shared" si="3"/>
        <v>0</v>
      </c>
    </row>
    <row r="25" spans="1:9" s="57" customFormat="1" ht="18" customHeight="1">
      <c r="A25" s="378"/>
      <c r="B25" s="247"/>
      <c r="C25" s="72"/>
      <c r="D25" s="73"/>
      <c r="E25" s="74"/>
      <c r="F25" s="12"/>
      <c r="G25" s="12"/>
      <c r="H25" s="75">
        <f t="shared" si="2"/>
        <v>0</v>
      </c>
      <c r="I25" s="76">
        <f t="shared" si="3"/>
        <v>0</v>
      </c>
    </row>
    <row r="26" spans="1:9" s="57" customFormat="1" ht="18" customHeight="1">
      <c r="A26" s="378"/>
      <c r="B26" s="247"/>
      <c r="C26" s="72"/>
      <c r="D26" s="73"/>
      <c r="E26" s="74"/>
      <c r="F26" s="12"/>
      <c r="G26" s="12"/>
      <c r="H26" s="75">
        <f t="shared" si="2"/>
        <v>0</v>
      </c>
      <c r="I26" s="76">
        <f t="shared" si="3"/>
        <v>0</v>
      </c>
    </row>
    <row r="27" spans="1:9" s="57" customFormat="1" ht="18" customHeight="1">
      <c r="A27" s="378"/>
      <c r="B27" s="247"/>
      <c r="C27" s="72"/>
      <c r="D27" s="73"/>
      <c r="E27" s="74"/>
      <c r="F27" s="72"/>
      <c r="G27" s="72"/>
      <c r="H27" s="75">
        <f t="shared" si="2"/>
        <v>0</v>
      </c>
      <c r="I27" s="76">
        <f t="shared" si="3"/>
        <v>0</v>
      </c>
    </row>
    <row r="28" spans="1:9" s="57" customFormat="1" ht="18" customHeight="1">
      <c r="A28" s="378"/>
      <c r="B28" s="247"/>
      <c r="C28" s="12"/>
      <c r="D28" s="73"/>
      <c r="E28" s="74"/>
      <c r="F28" s="72"/>
      <c r="G28" s="72"/>
      <c r="H28" s="75">
        <f t="shared" si="2"/>
        <v>0</v>
      </c>
      <c r="I28" s="76">
        <f t="shared" si="3"/>
        <v>0</v>
      </c>
    </row>
    <row r="29" spans="1:9" ht="24" customHeight="1">
      <c r="A29" s="1"/>
      <c r="B29" s="3"/>
      <c r="C29" s="106"/>
      <c r="D29" s="107">
        <f>SUM(D4:D28)</f>
        <v>613</v>
      </c>
      <c r="E29" s="106"/>
      <c r="F29" s="3"/>
      <c r="G29" s="108">
        <f>SUM(G4:G28)</f>
        <v>39</v>
      </c>
      <c r="H29" s="108">
        <f>SUM(H4:H28)</f>
        <v>7310000</v>
      </c>
      <c r="I29" s="109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54" customWidth="1"/>
    <col min="2" max="2" width="7.8515625" style="55" customWidth="1"/>
    <col min="3" max="3" width="8.421875" style="56" customWidth="1"/>
    <col min="4" max="4" width="6.8515625" style="55" customWidth="1"/>
    <col min="5" max="5" width="8.140625" style="55" customWidth="1"/>
    <col min="6" max="6" width="10.140625" style="55" customWidth="1"/>
    <col min="7" max="7" width="9.140625" style="55" customWidth="1"/>
    <col min="8" max="8" width="13.421875" style="55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57" customFormat="1" ht="43.5" customHeight="1">
      <c r="B1" s="435" t="s">
        <v>110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</row>
    <row r="2" spans="2:14" s="57" customFormat="1" ht="29.25" customHeight="1">
      <c r="B2" s="444" t="s">
        <v>223</v>
      </c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</row>
    <row r="3" spans="1:14" s="70" customFormat="1" ht="27" customHeight="1">
      <c r="A3" s="59" t="s">
        <v>77</v>
      </c>
      <c r="B3" s="60" t="s">
        <v>78</v>
      </c>
      <c r="C3" s="60" t="s">
        <v>79</v>
      </c>
      <c r="D3" s="60" t="s">
        <v>80</v>
      </c>
      <c r="E3" s="60" t="s">
        <v>81</v>
      </c>
      <c r="F3" s="61" t="s">
        <v>82</v>
      </c>
      <c r="G3" s="62" t="s">
        <v>83</v>
      </c>
      <c r="H3" s="63" t="s">
        <v>84</v>
      </c>
      <c r="I3" s="64"/>
      <c r="J3" s="65" t="s">
        <v>82</v>
      </c>
      <c r="K3" s="66"/>
      <c r="L3" s="67"/>
      <c r="M3" s="68" t="s">
        <v>83</v>
      </c>
      <c r="N3" s="69" t="s">
        <v>85</v>
      </c>
    </row>
    <row r="4" spans="1:14" s="81" customFormat="1" ht="18" customHeight="1">
      <c r="A4" s="378" t="s">
        <v>30</v>
      </c>
      <c r="B4" s="247">
        <v>10.2</v>
      </c>
      <c r="C4" s="72">
        <v>33</v>
      </c>
      <c r="D4" s="73">
        <v>33</v>
      </c>
      <c r="E4" s="88">
        <v>1.82</v>
      </c>
      <c r="F4" s="72">
        <v>1</v>
      </c>
      <c r="G4" s="72">
        <v>10</v>
      </c>
      <c r="H4" s="75">
        <f aca="true" t="shared" si="0" ref="H4:H11">N4+I4</f>
        <v>1910000</v>
      </c>
      <c r="I4" s="76">
        <f>IF(E4&gt;0,$N$13,0)+IF(C4&gt;0,50000,0)+IF(C12&lt;0,50000,0)</f>
        <v>410000</v>
      </c>
      <c r="J4" s="77" t="s">
        <v>86</v>
      </c>
      <c r="K4" s="78"/>
      <c r="L4" s="79"/>
      <c r="M4" s="80">
        <v>10</v>
      </c>
      <c r="N4" s="75">
        <f>N12*25%</f>
        <v>1500000</v>
      </c>
    </row>
    <row r="5" spans="1:14" s="81" customFormat="1" ht="18" customHeight="1">
      <c r="A5" s="378" t="s">
        <v>28</v>
      </c>
      <c r="B5" s="247">
        <v>11.8</v>
      </c>
      <c r="C5" s="92">
        <v>32</v>
      </c>
      <c r="D5" s="73">
        <v>33</v>
      </c>
      <c r="E5" s="74">
        <v>4.07</v>
      </c>
      <c r="F5" s="72">
        <v>2</v>
      </c>
      <c r="G5" s="72">
        <v>8</v>
      </c>
      <c r="H5" s="75">
        <v>1350000</v>
      </c>
      <c r="I5" s="76">
        <f aca="true" t="shared" si="1" ref="I5:I11">IF(E5&gt;0,$N$13,0)+IF(C5&gt;0,50000,0)+IF(C13&lt;0,50000,0)</f>
        <v>410000</v>
      </c>
      <c r="J5" s="82" t="s">
        <v>87</v>
      </c>
      <c r="K5" s="83"/>
      <c r="L5" s="84"/>
      <c r="M5" s="85">
        <v>8</v>
      </c>
      <c r="N5" s="75">
        <f>N12*20%</f>
        <v>1200000</v>
      </c>
    </row>
    <row r="6" spans="1:14" s="81" customFormat="1" ht="18" customHeight="1">
      <c r="A6" s="378" t="s">
        <v>22</v>
      </c>
      <c r="B6" s="247">
        <v>12.3</v>
      </c>
      <c r="C6" s="72">
        <v>32</v>
      </c>
      <c r="D6" s="73">
        <v>31</v>
      </c>
      <c r="E6" s="74"/>
      <c r="F6" s="12">
        <v>3</v>
      </c>
      <c r="G6" s="12">
        <v>6</v>
      </c>
      <c r="H6" s="75">
        <f t="shared" si="0"/>
        <v>950000</v>
      </c>
      <c r="I6" s="76">
        <f t="shared" si="1"/>
        <v>50000</v>
      </c>
      <c r="J6" s="82" t="s">
        <v>88</v>
      </c>
      <c r="K6" s="83"/>
      <c r="L6" s="84"/>
      <c r="M6" s="85">
        <v>6</v>
      </c>
      <c r="N6" s="75">
        <f>N12*15%</f>
        <v>900000</v>
      </c>
    </row>
    <row r="7" spans="1:18" s="81" customFormat="1" ht="18" customHeight="1">
      <c r="A7" s="378" t="s">
        <v>32</v>
      </c>
      <c r="B7" s="247">
        <v>13.6</v>
      </c>
      <c r="C7" s="72">
        <v>32</v>
      </c>
      <c r="D7" s="73">
        <v>34</v>
      </c>
      <c r="E7" s="74">
        <v>5.77</v>
      </c>
      <c r="F7" s="72">
        <v>4</v>
      </c>
      <c r="G7" s="72">
        <v>5</v>
      </c>
      <c r="H7" s="75">
        <v>870000</v>
      </c>
      <c r="I7" s="76">
        <f t="shared" si="1"/>
        <v>410000</v>
      </c>
      <c r="J7" s="82" t="s">
        <v>89</v>
      </c>
      <c r="K7" s="83"/>
      <c r="L7" s="84"/>
      <c r="M7" s="85">
        <v>5</v>
      </c>
      <c r="N7" s="75">
        <f>N12*12%</f>
        <v>720000</v>
      </c>
      <c r="O7" s="86"/>
      <c r="P7" s="86"/>
      <c r="Q7" s="86"/>
      <c r="R7" s="87"/>
    </row>
    <row r="8" spans="1:14" s="81" customFormat="1" ht="18" customHeight="1">
      <c r="A8" s="378" t="s">
        <v>34</v>
      </c>
      <c r="B8" s="247">
        <v>16.3</v>
      </c>
      <c r="C8" s="72">
        <v>31</v>
      </c>
      <c r="D8" s="73">
        <v>38</v>
      </c>
      <c r="E8" s="74">
        <v>4.07</v>
      </c>
      <c r="F8" s="72">
        <v>5</v>
      </c>
      <c r="G8" s="72">
        <v>4</v>
      </c>
      <c r="H8" s="75">
        <v>750000</v>
      </c>
      <c r="I8" s="76">
        <f t="shared" si="1"/>
        <v>410000</v>
      </c>
      <c r="J8" s="82" t="s">
        <v>90</v>
      </c>
      <c r="K8" s="83"/>
      <c r="L8" s="84"/>
      <c r="M8" s="85">
        <v>4</v>
      </c>
      <c r="N8" s="75">
        <f>N12*10%</f>
        <v>600000</v>
      </c>
    </row>
    <row r="9" spans="1:14" s="81" customFormat="1" ht="18" customHeight="1">
      <c r="A9" s="378" t="s">
        <v>12</v>
      </c>
      <c r="B9" s="247">
        <v>15.9</v>
      </c>
      <c r="C9" s="72">
        <v>30</v>
      </c>
      <c r="D9" s="73">
        <v>30</v>
      </c>
      <c r="E9" s="74"/>
      <c r="F9" s="89">
        <v>6</v>
      </c>
      <c r="G9" s="89">
        <v>3</v>
      </c>
      <c r="H9" s="75">
        <f t="shared" si="0"/>
        <v>530000</v>
      </c>
      <c r="I9" s="76">
        <f t="shared" si="1"/>
        <v>50000</v>
      </c>
      <c r="J9" s="82" t="s">
        <v>91</v>
      </c>
      <c r="K9" s="83"/>
      <c r="L9" s="84"/>
      <c r="M9" s="85">
        <v>3</v>
      </c>
      <c r="N9" s="75">
        <f>N12*8%</f>
        <v>480000</v>
      </c>
    </row>
    <row r="10" spans="1:14" s="81" customFormat="1" ht="18" customHeight="1">
      <c r="A10" s="378" t="s">
        <v>14</v>
      </c>
      <c r="B10" s="247">
        <v>12.1</v>
      </c>
      <c r="C10" s="73">
        <v>29</v>
      </c>
      <c r="D10" s="73">
        <v>35</v>
      </c>
      <c r="E10" s="74"/>
      <c r="F10" s="72">
        <v>7</v>
      </c>
      <c r="G10" s="72">
        <v>2</v>
      </c>
      <c r="H10" s="75">
        <f t="shared" si="0"/>
        <v>410000</v>
      </c>
      <c r="I10" s="76">
        <f t="shared" si="1"/>
        <v>50000</v>
      </c>
      <c r="J10" s="82" t="s">
        <v>92</v>
      </c>
      <c r="K10" s="83"/>
      <c r="L10" s="84"/>
      <c r="M10" s="85">
        <v>2</v>
      </c>
      <c r="N10" s="75">
        <f>N12*6%</f>
        <v>360000</v>
      </c>
    </row>
    <row r="11" spans="1:14" s="81" customFormat="1" ht="18" customHeight="1">
      <c r="A11" s="378" t="s">
        <v>38</v>
      </c>
      <c r="B11" s="247">
        <v>13.4</v>
      </c>
      <c r="C11" s="73">
        <v>29</v>
      </c>
      <c r="D11" s="73">
        <v>35</v>
      </c>
      <c r="E11" s="88"/>
      <c r="F11" s="72">
        <v>8</v>
      </c>
      <c r="G11" s="72">
        <v>1</v>
      </c>
      <c r="H11" s="75">
        <f t="shared" si="0"/>
        <v>290000</v>
      </c>
      <c r="I11" s="76">
        <f t="shared" si="1"/>
        <v>50000</v>
      </c>
      <c r="J11" s="82" t="s">
        <v>93</v>
      </c>
      <c r="K11" s="83"/>
      <c r="L11" s="84"/>
      <c r="M11" s="85">
        <v>1</v>
      </c>
      <c r="N11" s="75">
        <f>N12*4%</f>
        <v>240000</v>
      </c>
    </row>
    <row r="12" spans="1:14" s="81" customFormat="1" ht="18" customHeight="1">
      <c r="A12" s="378" t="s">
        <v>44</v>
      </c>
      <c r="B12" s="247">
        <v>16</v>
      </c>
      <c r="C12" s="73">
        <v>29</v>
      </c>
      <c r="D12" s="73">
        <v>37</v>
      </c>
      <c r="E12" s="74"/>
      <c r="F12" s="72"/>
      <c r="G12" s="72"/>
      <c r="H12" s="75">
        <f aca="true" t="shared" si="2" ref="H12:H27">I12</f>
        <v>50000</v>
      </c>
      <c r="I12" s="76">
        <f>IF(E12&gt;0,$N$13,0)+IF(C12&gt;0,50000,0)+IF(C12&lt;0,50000,0)</f>
        <v>50000</v>
      </c>
      <c r="J12" s="90" t="s">
        <v>94</v>
      </c>
      <c r="K12" s="83"/>
      <c r="L12" s="84"/>
      <c r="M12" s="85"/>
      <c r="N12" s="91">
        <v>6000000</v>
      </c>
    </row>
    <row r="13" spans="1:14" s="81" customFormat="1" ht="18" customHeight="1">
      <c r="A13" s="378" t="s">
        <v>20</v>
      </c>
      <c r="B13" s="247">
        <v>16.3</v>
      </c>
      <c r="C13" s="73">
        <v>28</v>
      </c>
      <c r="D13" s="73">
        <v>31</v>
      </c>
      <c r="E13" s="88">
        <v>19.98</v>
      </c>
      <c r="F13" s="72"/>
      <c r="G13" s="72"/>
      <c r="H13" s="75">
        <v>150000</v>
      </c>
      <c r="I13" s="76">
        <f aca="true" t="shared" si="3" ref="I13:I27">IF(E13&gt;0,$N$13,0)+IF(C13&gt;0,50000,0)+IF(C13&lt;0,50000,0)</f>
        <v>410000</v>
      </c>
      <c r="J13" s="93" t="s">
        <v>95</v>
      </c>
      <c r="K13" s="94"/>
      <c r="L13" s="95"/>
      <c r="M13" s="96">
        <v>1</v>
      </c>
      <c r="N13" s="97">
        <f>N10</f>
        <v>360000</v>
      </c>
    </row>
    <row r="14" spans="1:14" s="81" customFormat="1" ht="18" customHeight="1">
      <c r="A14" s="378" t="s">
        <v>42</v>
      </c>
      <c r="B14" s="247">
        <v>19.5</v>
      </c>
      <c r="C14" s="72">
        <v>28</v>
      </c>
      <c r="D14" s="92">
        <v>39</v>
      </c>
      <c r="E14" s="88"/>
      <c r="F14" s="72"/>
      <c r="G14" s="72"/>
      <c r="H14" s="75">
        <f t="shared" si="2"/>
        <v>50000</v>
      </c>
      <c r="I14" s="76">
        <f t="shared" si="3"/>
        <v>50000</v>
      </c>
      <c r="J14" s="98"/>
      <c r="K14" s="94"/>
      <c r="L14" s="94"/>
      <c r="M14" s="99"/>
      <c r="N14" s="100"/>
    </row>
    <row r="15" spans="1:14" s="81" customFormat="1" ht="18" customHeight="1">
      <c r="A15" s="378" t="s">
        <v>26</v>
      </c>
      <c r="B15" s="247">
        <v>22.9</v>
      </c>
      <c r="C15" s="72">
        <v>28</v>
      </c>
      <c r="D15" s="73">
        <v>39</v>
      </c>
      <c r="E15" s="88"/>
      <c r="F15" s="72"/>
      <c r="G15" s="72"/>
      <c r="H15" s="75">
        <f t="shared" si="2"/>
        <v>50000</v>
      </c>
      <c r="I15" s="76">
        <f t="shared" si="3"/>
        <v>50000</v>
      </c>
      <c r="J15" s="101"/>
      <c r="K15" s="102"/>
      <c r="L15" s="102"/>
      <c r="M15" s="103"/>
      <c r="N15" s="104"/>
    </row>
    <row r="16" spans="1:9" s="81" customFormat="1" ht="18" customHeight="1">
      <c r="A16" s="378" t="s">
        <v>46</v>
      </c>
      <c r="B16" s="247">
        <v>21.7</v>
      </c>
      <c r="C16" s="72">
        <v>27</v>
      </c>
      <c r="D16" s="92">
        <v>40</v>
      </c>
      <c r="E16" s="74"/>
      <c r="F16" s="12"/>
      <c r="G16" s="12"/>
      <c r="H16" s="75">
        <f t="shared" si="2"/>
        <v>50000</v>
      </c>
      <c r="I16" s="76">
        <f t="shared" si="3"/>
        <v>50000</v>
      </c>
    </row>
    <row r="17" spans="1:13" s="81" customFormat="1" ht="18" customHeight="1">
      <c r="A17" s="378" t="s">
        <v>18</v>
      </c>
      <c r="B17" s="247">
        <v>14.1</v>
      </c>
      <c r="C17" s="73">
        <v>26</v>
      </c>
      <c r="D17" s="73">
        <v>33</v>
      </c>
      <c r="E17" s="74"/>
      <c r="F17" s="12"/>
      <c r="G17" s="12"/>
      <c r="H17" s="75">
        <f t="shared" si="2"/>
        <v>50000</v>
      </c>
      <c r="I17" s="76">
        <f t="shared" si="3"/>
        <v>50000</v>
      </c>
      <c r="J17" s="86"/>
      <c r="K17" s="86"/>
      <c r="L17" s="86"/>
      <c r="M17" s="87"/>
    </row>
    <row r="18" spans="1:13" s="81" customFormat="1" ht="18" customHeight="1">
      <c r="A18" s="378" t="s">
        <v>50</v>
      </c>
      <c r="B18" s="247">
        <v>24.4</v>
      </c>
      <c r="C18" s="72">
        <v>25</v>
      </c>
      <c r="D18" s="73">
        <v>41</v>
      </c>
      <c r="E18" s="74"/>
      <c r="F18" s="72"/>
      <c r="G18" s="72"/>
      <c r="H18" s="75">
        <f t="shared" si="2"/>
        <v>50000</v>
      </c>
      <c r="I18" s="76">
        <f t="shared" si="3"/>
        <v>50000</v>
      </c>
      <c r="J18" s="87"/>
      <c r="K18" s="87"/>
      <c r="L18" s="87"/>
      <c r="M18" s="87"/>
    </row>
    <row r="19" spans="1:13" s="81" customFormat="1" ht="18" customHeight="1">
      <c r="A19" s="378" t="s">
        <v>166</v>
      </c>
      <c r="B19" s="247">
        <v>14.2</v>
      </c>
      <c r="C19" s="72">
        <v>24</v>
      </c>
      <c r="D19" s="73">
        <v>38</v>
      </c>
      <c r="E19" s="74"/>
      <c r="F19" s="72"/>
      <c r="G19" s="72"/>
      <c r="H19" s="75">
        <f t="shared" si="2"/>
        <v>50000</v>
      </c>
      <c r="I19" s="76">
        <f t="shared" si="3"/>
        <v>50000</v>
      </c>
      <c r="J19" s="87"/>
      <c r="K19" s="87"/>
      <c r="L19" s="87"/>
      <c r="M19" s="87"/>
    </row>
    <row r="20" spans="1:9" s="57" customFormat="1" ht="18" customHeight="1">
      <c r="A20" s="378" t="s">
        <v>16</v>
      </c>
      <c r="B20" s="247">
        <v>18.9</v>
      </c>
      <c r="C20" s="72">
        <v>22</v>
      </c>
      <c r="D20" s="92">
        <v>42</v>
      </c>
      <c r="E20" s="257"/>
      <c r="F20" s="12"/>
      <c r="G20" s="12"/>
      <c r="H20" s="75">
        <f t="shared" si="2"/>
        <v>50000</v>
      </c>
      <c r="I20" s="76">
        <f t="shared" si="3"/>
        <v>50000</v>
      </c>
    </row>
    <row r="21" spans="1:9" s="57" customFormat="1" ht="18" customHeight="1">
      <c r="A21" s="378" t="s">
        <v>10</v>
      </c>
      <c r="B21" s="247">
        <v>12.2</v>
      </c>
      <c r="C21" s="72" t="s">
        <v>157</v>
      </c>
      <c r="D21" s="92" t="s">
        <v>99</v>
      </c>
      <c r="E21" s="88"/>
      <c r="F21" s="12"/>
      <c r="G21" s="12"/>
      <c r="H21" s="75">
        <f t="shared" si="2"/>
        <v>50000</v>
      </c>
      <c r="I21" s="76">
        <f t="shared" si="3"/>
        <v>50000</v>
      </c>
    </row>
    <row r="22" spans="1:9" s="57" customFormat="1" ht="18" customHeight="1">
      <c r="A22" s="378"/>
      <c r="B22" s="247"/>
      <c r="C22" s="12"/>
      <c r="D22" s="92"/>
      <c r="E22" s="88"/>
      <c r="F22" s="12"/>
      <c r="G22" s="12"/>
      <c r="H22" s="75">
        <f t="shared" si="2"/>
        <v>0</v>
      </c>
      <c r="I22" s="76">
        <f t="shared" si="3"/>
        <v>0</v>
      </c>
    </row>
    <row r="23" spans="1:9" s="57" customFormat="1" ht="18" customHeight="1">
      <c r="A23" s="378"/>
      <c r="B23" s="247"/>
      <c r="C23" s="72"/>
      <c r="D23" s="92"/>
      <c r="E23" s="74"/>
      <c r="F23" s="12"/>
      <c r="G23" s="12"/>
      <c r="H23" s="75">
        <f t="shared" si="2"/>
        <v>0</v>
      </c>
      <c r="I23" s="76">
        <f t="shared" si="3"/>
        <v>0</v>
      </c>
    </row>
    <row r="24" spans="1:9" s="57" customFormat="1" ht="18" customHeight="1">
      <c r="A24" s="378"/>
      <c r="B24" s="247"/>
      <c r="C24" s="72"/>
      <c r="D24" s="92"/>
      <c r="E24" s="74"/>
      <c r="F24" s="12"/>
      <c r="G24" s="12"/>
      <c r="H24" s="75">
        <f t="shared" si="2"/>
        <v>0</v>
      </c>
      <c r="I24" s="76">
        <f t="shared" si="3"/>
        <v>0</v>
      </c>
    </row>
    <row r="25" spans="1:9" s="57" customFormat="1" ht="18" customHeight="1">
      <c r="A25" s="378"/>
      <c r="B25" s="247"/>
      <c r="C25" s="72"/>
      <c r="D25" s="73"/>
      <c r="E25" s="74"/>
      <c r="F25" s="12"/>
      <c r="G25" s="12"/>
      <c r="H25" s="75">
        <f t="shared" si="2"/>
        <v>0</v>
      </c>
      <c r="I25" s="76">
        <f t="shared" si="3"/>
        <v>0</v>
      </c>
    </row>
    <row r="26" spans="1:9" s="57" customFormat="1" ht="18" customHeight="1">
      <c r="A26" s="378"/>
      <c r="B26" s="247"/>
      <c r="C26" s="12"/>
      <c r="D26" s="73"/>
      <c r="E26" s="88"/>
      <c r="F26" s="72"/>
      <c r="G26" s="72"/>
      <c r="H26" s="75">
        <f t="shared" si="2"/>
        <v>0</v>
      </c>
      <c r="I26" s="76">
        <f t="shared" si="3"/>
        <v>0</v>
      </c>
    </row>
    <row r="27" spans="1:9" s="57" customFormat="1" ht="18" customHeight="1">
      <c r="A27" s="13"/>
      <c r="B27" s="14"/>
      <c r="C27" s="72"/>
      <c r="D27" s="92"/>
      <c r="E27" s="74"/>
      <c r="F27" s="72"/>
      <c r="G27" s="72"/>
      <c r="H27" s="75">
        <f t="shared" si="2"/>
        <v>0</v>
      </c>
      <c r="I27" s="76">
        <f t="shared" si="3"/>
        <v>0</v>
      </c>
    </row>
    <row r="28" spans="1:9" ht="24" customHeight="1">
      <c r="A28" s="1"/>
      <c r="B28" s="3"/>
      <c r="C28" s="106"/>
      <c r="D28" s="107">
        <f>SUM(D4:D27)</f>
        <v>609</v>
      </c>
      <c r="E28" s="106"/>
      <c r="F28" s="3"/>
      <c r="G28" s="108">
        <f>SUM(G4:G27)</f>
        <v>39</v>
      </c>
      <c r="H28" s="108">
        <f>SUM(H4:H27)</f>
        <v>7660000</v>
      </c>
      <c r="I28" s="109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9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54" customWidth="1"/>
    <col min="2" max="2" width="7.8515625" style="55" customWidth="1"/>
    <col min="3" max="3" width="8.421875" style="56" customWidth="1"/>
    <col min="4" max="4" width="6.8515625" style="55" customWidth="1"/>
    <col min="5" max="5" width="8.140625" style="55" customWidth="1"/>
    <col min="6" max="6" width="10.140625" style="55" customWidth="1"/>
    <col min="7" max="7" width="9.140625" style="55" customWidth="1"/>
    <col min="8" max="8" width="13.421875" style="55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57" customFormat="1" ht="43.5" customHeight="1">
      <c r="B1" s="435" t="s">
        <v>111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</row>
    <row r="2" spans="2:14" s="57" customFormat="1" ht="29.25" customHeight="1">
      <c r="B2" s="444" t="s">
        <v>221</v>
      </c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</row>
    <row r="3" spans="1:14" s="70" customFormat="1" ht="27" customHeight="1">
      <c r="A3" s="59" t="s">
        <v>77</v>
      </c>
      <c r="B3" s="60" t="s">
        <v>78</v>
      </c>
      <c r="C3" s="60" t="s">
        <v>79</v>
      </c>
      <c r="D3" s="60" t="s">
        <v>80</v>
      </c>
      <c r="E3" s="60" t="s">
        <v>81</v>
      </c>
      <c r="F3" s="61" t="s">
        <v>82</v>
      </c>
      <c r="G3" s="62" t="s">
        <v>83</v>
      </c>
      <c r="H3" s="63" t="s">
        <v>84</v>
      </c>
      <c r="I3" s="64"/>
      <c r="J3" s="65" t="s">
        <v>82</v>
      </c>
      <c r="K3" s="66"/>
      <c r="L3" s="67"/>
      <c r="M3" s="68" t="s">
        <v>83</v>
      </c>
      <c r="N3" s="69" t="s">
        <v>85</v>
      </c>
    </row>
    <row r="4" spans="1:14" s="81" customFormat="1" ht="18" customHeight="1">
      <c r="A4" s="378" t="s">
        <v>20</v>
      </c>
      <c r="B4" s="247">
        <v>16.3</v>
      </c>
      <c r="C4" s="72">
        <v>35</v>
      </c>
      <c r="D4" s="73">
        <v>34</v>
      </c>
      <c r="E4" s="74"/>
      <c r="F4" s="72">
        <v>1</v>
      </c>
      <c r="G4" s="72">
        <v>10</v>
      </c>
      <c r="H4" s="75">
        <f>N4+I4</f>
        <v>1550000</v>
      </c>
      <c r="I4" s="76">
        <f>IF(E4&gt;0,$N$13,0)+IF(C4&gt;0,50000,0)+IF(C4&lt;0,50000,0)</f>
        <v>50000</v>
      </c>
      <c r="J4" s="77" t="s">
        <v>86</v>
      </c>
      <c r="K4" s="78"/>
      <c r="L4" s="79"/>
      <c r="M4" s="80">
        <v>10</v>
      </c>
      <c r="N4" s="75">
        <f>N12*25%</f>
        <v>1500000</v>
      </c>
    </row>
    <row r="5" spans="1:14" s="81" customFormat="1" ht="18" customHeight="1">
      <c r="A5" s="378" t="s">
        <v>42</v>
      </c>
      <c r="B5" s="247">
        <v>19.5</v>
      </c>
      <c r="C5" s="12">
        <v>33</v>
      </c>
      <c r="D5" s="92">
        <v>35</v>
      </c>
      <c r="E5" s="12"/>
      <c r="F5" s="72">
        <v>2</v>
      </c>
      <c r="G5" s="72">
        <v>8</v>
      </c>
      <c r="H5" s="75">
        <f>N5+I5</f>
        <v>1250000</v>
      </c>
      <c r="I5" s="76">
        <f aca="true" t="shared" si="0" ref="I5:I28">IF(E5&gt;0,$N$13,0)+IF(C5&gt;0,50000,0)+IF(C5&lt;0,50000,0)</f>
        <v>50000</v>
      </c>
      <c r="J5" s="82" t="s">
        <v>87</v>
      </c>
      <c r="K5" s="83"/>
      <c r="L5" s="84"/>
      <c r="M5" s="85">
        <v>8</v>
      </c>
      <c r="N5" s="75">
        <f>N12*20%</f>
        <v>1200000</v>
      </c>
    </row>
    <row r="6" spans="1:14" s="81" customFormat="1" ht="18" customHeight="1">
      <c r="A6" s="378" t="s">
        <v>10</v>
      </c>
      <c r="B6" s="247">
        <v>12.1</v>
      </c>
      <c r="C6" s="72">
        <v>32</v>
      </c>
      <c r="D6" s="92">
        <v>34</v>
      </c>
      <c r="E6" s="12"/>
      <c r="F6" s="12">
        <v>3</v>
      </c>
      <c r="G6" s="12">
        <v>6</v>
      </c>
      <c r="H6" s="75">
        <f aca="true" t="shared" si="1" ref="H6:H11">N6+I6</f>
        <v>950000</v>
      </c>
      <c r="I6" s="76">
        <f t="shared" si="0"/>
        <v>50000</v>
      </c>
      <c r="J6" s="82" t="s">
        <v>88</v>
      </c>
      <c r="K6" s="83"/>
      <c r="L6" s="84"/>
      <c r="M6" s="85">
        <v>6</v>
      </c>
      <c r="N6" s="75">
        <f>N12*15%</f>
        <v>900000</v>
      </c>
    </row>
    <row r="7" spans="1:18" s="81" customFormat="1" ht="18" customHeight="1">
      <c r="A7" s="378" t="s">
        <v>30</v>
      </c>
      <c r="B7" s="247">
        <v>10.1</v>
      </c>
      <c r="C7" s="72">
        <v>31</v>
      </c>
      <c r="D7" s="73">
        <v>31</v>
      </c>
      <c r="E7" s="74"/>
      <c r="F7" s="72">
        <v>4</v>
      </c>
      <c r="G7" s="72">
        <v>5</v>
      </c>
      <c r="H7" s="75">
        <f t="shared" si="1"/>
        <v>770000</v>
      </c>
      <c r="I7" s="76">
        <f t="shared" si="0"/>
        <v>50000</v>
      </c>
      <c r="J7" s="82" t="s">
        <v>89</v>
      </c>
      <c r="K7" s="83"/>
      <c r="L7" s="84"/>
      <c r="M7" s="85">
        <v>5</v>
      </c>
      <c r="N7" s="75">
        <f>N12*12%</f>
        <v>720000</v>
      </c>
      <c r="O7" s="86"/>
      <c r="P7" s="86"/>
      <c r="Q7" s="86"/>
      <c r="R7" s="87"/>
    </row>
    <row r="8" spans="1:14" s="81" customFormat="1" ht="18" customHeight="1">
      <c r="A8" s="378" t="s">
        <v>12</v>
      </c>
      <c r="B8" s="247">
        <v>15.8</v>
      </c>
      <c r="C8" s="73">
        <v>31</v>
      </c>
      <c r="D8" s="73">
        <v>39</v>
      </c>
      <c r="E8" s="74"/>
      <c r="F8" s="72">
        <v>5</v>
      </c>
      <c r="G8" s="72">
        <v>4</v>
      </c>
      <c r="H8" s="75">
        <f t="shared" si="1"/>
        <v>650000</v>
      </c>
      <c r="I8" s="76">
        <f t="shared" si="0"/>
        <v>50000</v>
      </c>
      <c r="J8" s="82" t="s">
        <v>90</v>
      </c>
      <c r="K8" s="83"/>
      <c r="L8" s="84"/>
      <c r="M8" s="85">
        <v>4</v>
      </c>
      <c r="N8" s="75">
        <f>N12*10%</f>
        <v>600000</v>
      </c>
    </row>
    <row r="9" spans="1:14" s="81" customFormat="1" ht="18" customHeight="1">
      <c r="A9" s="378" t="s">
        <v>34</v>
      </c>
      <c r="B9" s="247">
        <v>16.2</v>
      </c>
      <c r="C9" s="72">
        <v>29</v>
      </c>
      <c r="D9" s="92">
        <v>38</v>
      </c>
      <c r="E9" s="12">
        <v>6.04</v>
      </c>
      <c r="F9" s="89">
        <v>6</v>
      </c>
      <c r="G9" s="89">
        <v>3</v>
      </c>
      <c r="H9" s="75">
        <f t="shared" si="1"/>
        <v>890000</v>
      </c>
      <c r="I9" s="76">
        <f t="shared" si="0"/>
        <v>410000</v>
      </c>
      <c r="J9" s="82" t="s">
        <v>91</v>
      </c>
      <c r="K9" s="83"/>
      <c r="L9" s="84"/>
      <c r="M9" s="85">
        <v>3</v>
      </c>
      <c r="N9" s="75">
        <f>N12*8%</f>
        <v>480000</v>
      </c>
    </row>
    <row r="10" spans="1:14" s="81" customFormat="1" ht="18" customHeight="1">
      <c r="A10" s="378" t="s">
        <v>44</v>
      </c>
      <c r="B10" s="247">
        <v>15.9</v>
      </c>
      <c r="C10" s="72">
        <v>28</v>
      </c>
      <c r="D10" s="73">
        <v>34</v>
      </c>
      <c r="E10" s="74"/>
      <c r="F10" s="72">
        <v>7</v>
      </c>
      <c r="G10" s="72">
        <v>2</v>
      </c>
      <c r="H10" s="75">
        <f t="shared" si="1"/>
        <v>410000</v>
      </c>
      <c r="I10" s="76">
        <f t="shared" si="0"/>
        <v>50000</v>
      </c>
      <c r="J10" s="82" t="s">
        <v>92</v>
      </c>
      <c r="K10" s="83"/>
      <c r="L10" s="84"/>
      <c r="M10" s="85">
        <v>2</v>
      </c>
      <c r="N10" s="75">
        <f>N12*6%</f>
        <v>360000</v>
      </c>
    </row>
    <row r="11" spans="1:14" s="81" customFormat="1" ht="18" customHeight="1">
      <c r="A11" s="378" t="s">
        <v>28</v>
      </c>
      <c r="B11" s="247">
        <v>11.7</v>
      </c>
      <c r="C11" s="72">
        <v>27</v>
      </c>
      <c r="D11" s="73">
        <v>35</v>
      </c>
      <c r="E11" s="74"/>
      <c r="F11" s="72">
        <v>8</v>
      </c>
      <c r="G11" s="72">
        <v>1</v>
      </c>
      <c r="H11" s="75">
        <f t="shared" si="1"/>
        <v>290000</v>
      </c>
      <c r="I11" s="76">
        <f t="shared" si="0"/>
        <v>50000</v>
      </c>
      <c r="J11" s="82" t="s">
        <v>93</v>
      </c>
      <c r="K11" s="83"/>
      <c r="L11" s="84"/>
      <c r="M11" s="85">
        <v>1</v>
      </c>
      <c r="N11" s="75">
        <f>N12*4%</f>
        <v>240000</v>
      </c>
    </row>
    <row r="12" spans="1:14" s="81" customFormat="1" ht="18" customHeight="1">
      <c r="A12" s="378" t="s">
        <v>38</v>
      </c>
      <c r="B12" s="247">
        <v>13.3</v>
      </c>
      <c r="C12" s="72">
        <v>25</v>
      </c>
      <c r="D12" s="73">
        <v>35</v>
      </c>
      <c r="E12" s="74"/>
      <c r="F12" s="72"/>
      <c r="G12" s="72"/>
      <c r="H12" s="75">
        <f>I12</f>
        <v>50000</v>
      </c>
      <c r="I12" s="76">
        <f t="shared" si="0"/>
        <v>50000</v>
      </c>
      <c r="J12" s="90" t="s">
        <v>94</v>
      </c>
      <c r="K12" s="83"/>
      <c r="L12" s="84"/>
      <c r="M12" s="85"/>
      <c r="N12" s="91">
        <v>6000000</v>
      </c>
    </row>
    <row r="13" spans="1:14" s="81" customFormat="1" ht="18" customHeight="1">
      <c r="A13" s="378" t="s">
        <v>166</v>
      </c>
      <c r="B13" s="247">
        <v>14.1</v>
      </c>
      <c r="C13" s="72">
        <v>24</v>
      </c>
      <c r="D13" s="73">
        <v>38</v>
      </c>
      <c r="E13" s="74"/>
      <c r="F13" s="72"/>
      <c r="G13" s="72"/>
      <c r="H13" s="75">
        <f aca="true" t="shared" si="2" ref="H13:H28">I13</f>
        <v>50000</v>
      </c>
      <c r="I13" s="76">
        <f t="shared" si="0"/>
        <v>50000</v>
      </c>
      <c r="J13" s="93" t="s">
        <v>95</v>
      </c>
      <c r="K13" s="94"/>
      <c r="L13" s="95"/>
      <c r="M13" s="96">
        <v>1</v>
      </c>
      <c r="N13" s="97">
        <f>N10</f>
        <v>360000</v>
      </c>
    </row>
    <row r="14" spans="1:14" s="81" customFormat="1" ht="18" customHeight="1">
      <c r="A14" s="378" t="s">
        <v>48</v>
      </c>
      <c r="B14" s="247">
        <v>8.3</v>
      </c>
      <c r="C14" s="73">
        <v>23</v>
      </c>
      <c r="D14" s="92">
        <v>38</v>
      </c>
      <c r="E14" s="12"/>
      <c r="F14" s="72"/>
      <c r="G14" s="72"/>
      <c r="H14" s="75">
        <f t="shared" si="2"/>
        <v>50000</v>
      </c>
      <c r="I14" s="76">
        <f t="shared" si="0"/>
        <v>50000</v>
      </c>
      <c r="J14" s="98"/>
      <c r="K14" s="94"/>
      <c r="L14" s="94"/>
      <c r="M14" s="99"/>
      <c r="N14" s="100"/>
    </row>
    <row r="15" spans="1:14" s="81" customFormat="1" ht="18" customHeight="1">
      <c r="A15" s="378" t="s">
        <v>8</v>
      </c>
      <c r="B15" s="247">
        <v>20.1</v>
      </c>
      <c r="C15" s="72">
        <v>22</v>
      </c>
      <c r="D15" s="73">
        <v>41</v>
      </c>
      <c r="E15" s="74"/>
      <c r="F15" s="72"/>
      <c r="G15" s="72"/>
      <c r="H15" s="75">
        <f t="shared" si="2"/>
        <v>50000</v>
      </c>
      <c r="I15" s="76">
        <f t="shared" si="0"/>
        <v>50000</v>
      </c>
      <c r="J15" s="101"/>
      <c r="K15" s="102"/>
      <c r="L15" s="102"/>
      <c r="M15" s="103"/>
      <c r="N15" s="104"/>
    </row>
    <row r="16" spans="1:9" s="81" customFormat="1" ht="18" customHeight="1">
      <c r="A16" s="378" t="s">
        <v>16</v>
      </c>
      <c r="B16" s="247">
        <v>18.8</v>
      </c>
      <c r="C16" s="73">
        <v>21</v>
      </c>
      <c r="D16" s="73">
        <v>43</v>
      </c>
      <c r="E16" s="74"/>
      <c r="F16" s="12"/>
      <c r="G16" s="12"/>
      <c r="H16" s="75">
        <f t="shared" si="2"/>
        <v>50000</v>
      </c>
      <c r="I16" s="76">
        <f t="shared" si="0"/>
        <v>50000</v>
      </c>
    </row>
    <row r="17" spans="1:18" s="81" customFormat="1" ht="18" customHeight="1">
      <c r="A17" s="378" t="s">
        <v>22</v>
      </c>
      <c r="B17" s="247">
        <v>12.3</v>
      </c>
      <c r="C17" s="73" t="s">
        <v>222</v>
      </c>
      <c r="D17" s="92"/>
      <c r="E17" s="12"/>
      <c r="F17" s="12"/>
      <c r="G17" s="12"/>
      <c r="H17" s="75">
        <f t="shared" si="2"/>
        <v>50000</v>
      </c>
      <c r="I17" s="76">
        <f t="shared" si="0"/>
        <v>50000</v>
      </c>
      <c r="O17" s="86"/>
      <c r="P17" s="86"/>
      <c r="Q17" s="86"/>
      <c r="R17" s="87"/>
    </row>
    <row r="18" spans="1:13" s="81" customFormat="1" ht="18" customHeight="1">
      <c r="A18" s="378" t="s">
        <v>24</v>
      </c>
      <c r="B18" s="247">
        <v>13.6</v>
      </c>
      <c r="C18" s="73" t="s">
        <v>222</v>
      </c>
      <c r="D18" s="73"/>
      <c r="E18" s="74"/>
      <c r="F18" s="72"/>
      <c r="G18" s="72"/>
      <c r="H18" s="75">
        <f t="shared" si="2"/>
        <v>50000</v>
      </c>
      <c r="I18" s="76">
        <f t="shared" si="0"/>
        <v>50000</v>
      </c>
      <c r="J18" s="87"/>
      <c r="K18" s="87"/>
      <c r="L18" s="87"/>
      <c r="M18" s="87"/>
    </row>
    <row r="19" spans="1:13" s="81" customFormat="1" ht="18" customHeight="1">
      <c r="A19" s="378" t="s">
        <v>40</v>
      </c>
      <c r="B19" s="247">
        <v>21</v>
      </c>
      <c r="C19" s="73" t="s">
        <v>222</v>
      </c>
      <c r="D19" s="73"/>
      <c r="E19" s="92"/>
      <c r="F19" s="72"/>
      <c r="G19" s="72"/>
      <c r="H19" s="75">
        <f t="shared" si="2"/>
        <v>50000</v>
      </c>
      <c r="I19" s="76">
        <f t="shared" si="0"/>
        <v>50000</v>
      </c>
      <c r="J19" s="87"/>
      <c r="K19" s="87"/>
      <c r="L19" s="87"/>
      <c r="M19" s="87"/>
    </row>
    <row r="20" spans="1:9" s="57" customFormat="1" ht="18" customHeight="1">
      <c r="A20" s="378"/>
      <c r="B20" s="247"/>
      <c r="C20" s="72"/>
      <c r="D20" s="73"/>
      <c r="E20" s="74"/>
      <c r="F20" s="12"/>
      <c r="G20" s="12"/>
      <c r="H20" s="75">
        <f t="shared" si="2"/>
        <v>0</v>
      </c>
      <c r="I20" s="76">
        <f t="shared" si="0"/>
        <v>0</v>
      </c>
    </row>
    <row r="21" spans="1:9" s="57" customFormat="1" ht="18" customHeight="1">
      <c r="A21" s="378"/>
      <c r="B21" s="247"/>
      <c r="C21" s="72"/>
      <c r="D21" s="73"/>
      <c r="E21" s="74"/>
      <c r="F21" s="12"/>
      <c r="G21" s="12"/>
      <c r="H21" s="75">
        <f t="shared" si="2"/>
        <v>0</v>
      </c>
      <c r="I21" s="76">
        <f t="shared" si="0"/>
        <v>0</v>
      </c>
    </row>
    <row r="22" spans="1:9" s="57" customFormat="1" ht="18" customHeight="1">
      <c r="A22" s="378"/>
      <c r="B22" s="247"/>
      <c r="C22" s="73"/>
      <c r="D22" s="92"/>
      <c r="E22" s="12"/>
      <c r="F22" s="12"/>
      <c r="G22" s="12"/>
      <c r="H22" s="75">
        <f t="shared" si="2"/>
        <v>0</v>
      </c>
      <c r="I22" s="76">
        <f t="shared" si="0"/>
        <v>0</v>
      </c>
    </row>
    <row r="23" spans="1:9" s="57" customFormat="1" ht="18" customHeight="1">
      <c r="A23" s="378"/>
      <c r="B23" s="247"/>
      <c r="C23" s="92"/>
      <c r="D23" s="73"/>
      <c r="E23" s="74"/>
      <c r="F23" s="12"/>
      <c r="G23" s="12"/>
      <c r="H23" s="75">
        <f t="shared" si="2"/>
        <v>0</v>
      </c>
      <c r="I23" s="76">
        <f t="shared" si="0"/>
        <v>0</v>
      </c>
    </row>
    <row r="24" spans="1:9" s="57" customFormat="1" ht="18" customHeight="1">
      <c r="A24" s="378"/>
      <c r="B24" s="247"/>
      <c r="C24" s="72"/>
      <c r="D24" s="92"/>
      <c r="E24" s="12"/>
      <c r="F24" s="12"/>
      <c r="G24" s="12"/>
      <c r="H24" s="75">
        <f t="shared" si="2"/>
        <v>0</v>
      </c>
      <c r="I24" s="76">
        <f t="shared" si="0"/>
        <v>0</v>
      </c>
    </row>
    <row r="25" spans="1:9" s="57" customFormat="1" ht="18" customHeight="1">
      <c r="A25" s="378"/>
      <c r="B25" s="247"/>
      <c r="C25" s="72"/>
      <c r="D25" s="73"/>
      <c r="E25" s="74"/>
      <c r="F25" s="12"/>
      <c r="G25" s="12"/>
      <c r="H25" s="75">
        <f t="shared" si="2"/>
        <v>0</v>
      </c>
      <c r="I25" s="76">
        <f t="shared" si="0"/>
        <v>0</v>
      </c>
    </row>
    <row r="26" spans="1:9" s="57" customFormat="1" ht="18" customHeight="1">
      <c r="A26" s="152"/>
      <c r="B26" s="247"/>
      <c r="C26" s="73"/>
      <c r="D26" s="73"/>
      <c r="E26" s="74"/>
      <c r="F26" s="12"/>
      <c r="G26" s="12"/>
      <c r="H26" s="75">
        <f>I26</f>
        <v>0</v>
      </c>
      <c r="I26" s="76">
        <f t="shared" si="0"/>
        <v>0</v>
      </c>
    </row>
    <row r="27" spans="1:9" s="57" customFormat="1" ht="18" customHeight="1">
      <c r="A27" s="152"/>
      <c r="B27" s="247"/>
      <c r="C27" s="72"/>
      <c r="D27" s="92"/>
      <c r="E27" s="12"/>
      <c r="F27" s="72"/>
      <c r="G27" s="72"/>
      <c r="H27" s="75">
        <f t="shared" si="2"/>
        <v>0</v>
      </c>
      <c r="I27" s="76">
        <f t="shared" si="0"/>
        <v>0</v>
      </c>
    </row>
    <row r="28" spans="1:9" s="57" customFormat="1" ht="18" customHeight="1">
      <c r="A28" s="152"/>
      <c r="B28" s="247"/>
      <c r="C28" s="72"/>
      <c r="D28" s="73"/>
      <c r="E28" s="74"/>
      <c r="F28" s="72"/>
      <c r="G28" s="72"/>
      <c r="H28" s="75">
        <f t="shared" si="2"/>
        <v>0</v>
      </c>
      <c r="I28" s="76">
        <f t="shared" si="0"/>
        <v>0</v>
      </c>
    </row>
    <row r="29" spans="1:9" ht="24" customHeight="1">
      <c r="A29" s="1"/>
      <c r="B29" s="3"/>
      <c r="C29" s="106"/>
      <c r="D29" s="107">
        <f>SUM(D4:D28)</f>
        <v>475</v>
      </c>
      <c r="E29" s="106"/>
      <c r="F29" s="3"/>
      <c r="G29" s="108">
        <f>SUM(G4:G28)</f>
        <v>39</v>
      </c>
      <c r="H29" s="108">
        <f>SUM(H4:H28)</f>
        <v>7160000</v>
      </c>
      <c r="I29" s="109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54" customWidth="1"/>
    <col min="2" max="2" width="7.8515625" style="55" customWidth="1"/>
    <col min="3" max="3" width="8.421875" style="56" customWidth="1"/>
    <col min="4" max="4" width="6.8515625" style="55" customWidth="1"/>
    <col min="5" max="5" width="8.140625" style="55" customWidth="1"/>
    <col min="6" max="6" width="10.140625" style="55" customWidth="1"/>
    <col min="7" max="7" width="9.140625" style="55" customWidth="1"/>
    <col min="8" max="8" width="13.421875" style="55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57" customFormat="1" ht="43.5" customHeight="1">
      <c r="B1" s="435" t="s">
        <v>112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</row>
    <row r="2" spans="2:14" s="57" customFormat="1" ht="29.25" customHeight="1">
      <c r="B2" s="444" t="s">
        <v>220</v>
      </c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</row>
    <row r="3" spans="1:14" s="70" customFormat="1" ht="27" customHeight="1">
      <c r="A3" s="59" t="s">
        <v>77</v>
      </c>
      <c r="B3" s="60" t="s">
        <v>78</v>
      </c>
      <c r="C3" s="60" t="s">
        <v>79</v>
      </c>
      <c r="D3" s="60" t="s">
        <v>80</v>
      </c>
      <c r="E3" s="60" t="s">
        <v>81</v>
      </c>
      <c r="F3" s="61" t="s">
        <v>82</v>
      </c>
      <c r="G3" s="62" t="s">
        <v>83</v>
      </c>
      <c r="H3" s="63" t="s">
        <v>84</v>
      </c>
      <c r="I3" s="64"/>
      <c r="J3" s="65" t="s">
        <v>82</v>
      </c>
      <c r="K3" s="66"/>
      <c r="L3" s="67"/>
      <c r="M3" s="68" t="s">
        <v>83</v>
      </c>
      <c r="N3" s="69" t="s">
        <v>85</v>
      </c>
    </row>
    <row r="4" spans="1:14" s="81" customFormat="1" ht="18" customHeight="1">
      <c r="A4" s="378" t="s">
        <v>166</v>
      </c>
      <c r="B4" s="247">
        <v>14</v>
      </c>
      <c r="C4" s="73">
        <v>33</v>
      </c>
      <c r="D4" s="73">
        <v>33</v>
      </c>
      <c r="E4" s="92"/>
      <c r="F4" s="72">
        <v>1</v>
      </c>
      <c r="G4" s="72">
        <v>10</v>
      </c>
      <c r="H4" s="75">
        <f>N4+I4</f>
        <v>1550000</v>
      </c>
      <c r="I4" s="76">
        <f>IF(E4&gt;0,$N$13,0)+IF(C4&gt;0,50000,0)+IF(C4&lt;0,50000,0)</f>
        <v>50000</v>
      </c>
      <c r="J4" s="77" t="s">
        <v>86</v>
      </c>
      <c r="K4" s="78"/>
      <c r="L4" s="79"/>
      <c r="M4" s="80">
        <v>10</v>
      </c>
      <c r="N4" s="75">
        <f>N12*25%</f>
        <v>1500000</v>
      </c>
    </row>
    <row r="5" spans="1:14" s="81" customFormat="1" ht="18" customHeight="1">
      <c r="A5" s="378" t="s">
        <v>10</v>
      </c>
      <c r="B5" s="247">
        <v>12.1</v>
      </c>
      <c r="C5" s="73">
        <v>31</v>
      </c>
      <c r="D5" s="73">
        <v>30</v>
      </c>
      <c r="E5" s="74"/>
      <c r="F5" s="72">
        <v>2</v>
      </c>
      <c r="G5" s="72">
        <v>8</v>
      </c>
      <c r="H5" s="75">
        <f aca="true" t="shared" si="0" ref="H5:H11">N5+I5</f>
        <v>1250000</v>
      </c>
      <c r="I5" s="76">
        <f aca="true" t="shared" si="1" ref="I5:I28">IF(E5&gt;0,$N$13,0)+IF(C5&gt;0,50000,0)+IF(C5&lt;0,50000,0)</f>
        <v>50000</v>
      </c>
      <c r="J5" s="82" t="s">
        <v>87</v>
      </c>
      <c r="K5" s="83"/>
      <c r="L5" s="84"/>
      <c r="M5" s="85">
        <v>8</v>
      </c>
      <c r="N5" s="75">
        <f>N12*20%</f>
        <v>1200000</v>
      </c>
    </row>
    <row r="6" spans="1:14" s="81" customFormat="1" ht="18" customHeight="1">
      <c r="A6" s="378" t="s">
        <v>38</v>
      </c>
      <c r="B6" s="247">
        <v>13.3</v>
      </c>
      <c r="C6" s="72">
        <v>31</v>
      </c>
      <c r="D6" s="73">
        <v>32</v>
      </c>
      <c r="E6" s="12"/>
      <c r="F6" s="12">
        <v>3</v>
      </c>
      <c r="G6" s="12">
        <v>6</v>
      </c>
      <c r="H6" s="75">
        <f t="shared" si="0"/>
        <v>950000</v>
      </c>
      <c r="I6" s="76">
        <f t="shared" si="1"/>
        <v>50000</v>
      </c>
      <c r="J6" s="82" t="s">
        <v>88</v>
      </c>
      <c r="K6" s="83"/>
      <c r="L6" s="84"/>
      <c r="M6" s="85">
        <v>6</v>
      </c>
      <c r="N6" s="75">
        <f>N12*15%</f>
        <v>900000</v>
      </c>
    </row>
    <row r="7" spans="1:18" s="81" customFormat="1" ht="18" customHeight="1">
      <c r="A7" s="378" t="s">
        <v>16</v>
      </c>
      <c r="B7" s="247">
        <v>18.8</v>
      </c>
      <c r="C7" s="12">
        <v>30</v>
      </c>
      <c r="D7" s="73">
        <v>37</v>
      </c>
      <c r="E7" s="74"/>
      <c r="F7" s="72">
        <v>4</v>
      </c>
      <c r="G7" s="72">
        <v>5</v>
      </c>
      <c r="H7" s="75">
        <f t="shared" si="0"/>
        <v>770000</v>
      </c>
      <c r="I7" s="76">
        <f t="shared" si="1"/>
        <v>50000</v>
      </c>
      <c r="J7" s="82" t="s">
        <v>89</v>
      </c>
      <c r="K7" s="83"/>
      <c r="L7" s="84"/>
      <c r="M7" s="85">
        <v>5</v>
      </c>
      <c r="N7" s="75">
        <f>N12*12%</f>
        <v>720000</v>
      </c>
      <c r="O7" s="86"/>
      <c r="P7" s="86"/>
      <c r="Q7" s="86"/>
      <c r="R7" s="87"/>
    </row>
    <row r="8" spans="1:14" s="81" customFormat="1" ht="18" customHeight="1">
      <c r="A8" s="378" t="s">
        <v>148</v>
      </c>
      <c r="B8" s="247">
        <v>11.9</v>
      </c>
      <c r="C8" s="73">
        <v>29</v>
      </c>
      <c r="D8" s="73">
        <v>33</v>
      </c>
      <c r="E8" s="74"/>
      <c r="F8" s="72">
        <v>5</v>
      </c>
      <c r="G8" s="72">
        <v>4</v>
      </c>
      <c r="H8" s="75">
        <f t="shared" si="0"/>
        <v>650000</v>
      </c>
      <c r="I8" s="76">
        <f t="shared" si="1"/>
        <v>50000</v>
      </c>
      <c r="J8" s="82" t="s">
        <v>90</v>
      </c>
      <c r="K8" s="83"/>
      <c r="L8" s="84"/>
      <c r="M8" s="85">
        <v>4</v>
      </c>
      <c r="N8" s="75">
        <f>N12*10%</f>
        <v>600000</v>
      </c>
    </row>
    <row r="9" spans="1:14" s="81" customFormat="1" ht="18" customHeight="1">
      <c r="A9" s="378" t="s">
        <v>8</v>
      </c>
      <c r="B9" s="247">
        <v>20</v>
      </c>
      <c r="C9" s="72">
        <v>29</v>
      </c>
      <c r="D9" s="73">
        <v>37</v>
      </c>
      <c r="E9" s="74"/>
      <c r="F9" s="89">
        <v>6</v>
      </c>
      <c r="G9" s="89">
        <v>3</v>
      </c>
      <c r="H9" s="75">
        <f t="shared" si="0"/>
        <v>530000</v>
      </c>
      <c r="I9" s="76">
        <f t="shared" si="1"/>
        <v>50000</v>
      </c>
      <c r="J9" s="82" t="s">
        <v>91</v>
      </c>
      <c r="K9" s="83"/>
      <c r="L9" s="84"/>
      <c r="M9" s="85">
        <v>3</v>
      </c>
      <c r="N9" s="75">
        <f>N12*8%</f>
        <v>480000</v>
      </c>
    </row>
    <row r="10" spans="1:14" s="81" customFormat="1" ht="18" customHeight="1">
      <c r="A10" s="378" t="s">
        <v>44</v>
      </c>
      <c r="B10" s="247">
        <v>15.8</v>
      </c>
      <c r="C10" s="72">
        <v>28</v>
      </c>
      <c r="D10" s="92">
        <v>34</v>
      </c>
      <c r="E10" s="12"/>
      <c r="F10" s="72">
        <v>7</v>
      </c>
      <c r="G10" s="72">
        <v>2</v>
      </c>
      <c r="H10" s="75">
        <f t="shared" si="0"/>
        <v>410000</v>
      </c>
      <c r="I10" s="76">
        <f t="shared" si="1"/>
        <v>50000</v>
      </c>
      <c r="J10" s="82" t="s">
        <v>92</v>
      </c>
      <c r="K10" s="83"/>
      <c r="L10" s="84"/>
      <c r="M10" s="85">
        <v>2</v>
      </c>
      <c r="N10" s="75">
        <f>N12*6%</f>
        <v>360000</v>
      </c>
    </row>
    <row r="11" spans="1:14" s="81" customFormat="1" ht="18" customHeight="1">
      <c r="A11" s="378" t="s">
        <v>42</v>
      </c>
      <c r="B11" s="247">
        <v>19.3</v>
      </c>
      <c r="C11" s="92">
        <v>28</v>
      </c>
      <c r="D11" s="73">
        <v>35</v>
      </c>
      <c r="E11" s="74"/>
      <c r="F11" s="72">
        <v>8</v>
      </c>
      <c r="G11" s="72">
        <v>1</v>
      </c>
      <c r="H11" s="75">
        <f t="shared" si="0"/>
        <v>290000</v>
      </c>
      <c r="I11" s="76">
        <f t="shared" si="1"/>
        <v>50000</v>
      </c>
      <c r="J11" s="82" t="s">
        <v>93</v>
      </c>
      <c r="K11" s="83"/>
      <c r="L11" s="84"/>
      <c r="M11" s="85">
        <v>1</v>
      </c>
      <c r="N11" s="75">
        <f>N12*4%</f>
        <v>240000</v>
      </c>
    </row>
    <row r="12" spans="1:14" s="81" customFormat="1" ht="18" customHeight="1">
      <c r="A12" s="378" t="s">
        <v>30</v>
      </c>
      <c r="B12" s="247">
        <v>10</v>
      </c>
      <c r="C12" s="72">
        <v>26</v>
      </c>
      <c r="D12" s="73">
        <v>35</v>
      </c>
      <c r="E12" s="74"/>
      <c r="F12" s="72"/>
      <c r="G12" s="72"/>
      <c r="H12" s="75">
        <f>I12</f>
        <v>50000</v>
      </c>
      <c r="I12" s="76">
        <f t="shared" si="1"/>
        <v>50000</v>
      </c>
      <c r="J12" s="90" t="s">
        <v>94</v>
      </c>
      <c r="K12" s="83"/>
      <c r="L12" s="84"/>
      <c r="M12" s="85"/>
      <c r="N12" s="91">
        <v>6000000</v>
      </c>
    </row>
    <row r="13" spans="1:14" s="81" customFormat="1" ht="18" customHeight="1">
      <c r="A13" s="378" t="s">
        <v>34</v>
      </c>
      <c r="B13" s="247">
        <v>16.1</v>
      </c>
      <c r="C13" s="72">
        <v>26</v>
      </c>
      <c r="D13" s="92">
        <v>37</v>
      </c>
      <c r="E13" s="74"/>
      <c r="F13" s="72"/>
      <c r="G13" s="72"/>
      <c r="H13" s="75">
        <f aca="true" t="shared" si="2" ref="H13:H28">I13</f>
        <v>50000</v>
      </c>
      <c r="I13" s="76">
        <f t="shared" si="1"/>
        <v>50000</v>
      </c>
      <c r="J13" s="93" t="s">
        <v>95</v>
      </c>
      <c r="K13" s="94"/>
      <c r="L13" s="95"/>
      <c r="M13" s="96">
        <v>1</v>
      </c>
      <c r="N13" s="97">
        <f>N10</f>
        <v>360000</v>
      </c>
    </row>
    <row r="14" spans="1:14" s="81" customFormat="1" ht="18" customHeight="1">
      <c r="A14" s="378" t="s">
        <v>32</v>
      </c>
      <c r="B14" s="247">
        <v>13.5</v>
      </c>
      <c r="C14" s="72">
        <v>25</v>
      </c>
      <c r="D14" s="73">
        <v>31</v>
      </c>
      <c r="E14" s="74"/>
      <c r="F14" s="72"/>
      <c r="G14" s="72"/>
      <c r="H14" s="75">
        <f t="shared" si="2"/>
        <v>50000</v>
      </c>
      <c r="I14" s="76">
        <f t="shared" si="1"/>
        <v>50000</v>
      </c>
      <c r="J14" s="98"/>
      <c r="K14" s="94"/>
      <c r="L14" s="94"/>
      <c r="M14" s="99"/>
      <c r="N14" s="100"/>
    </row>
    <row r="15" spans="1:14" s="81" customFormat="1" ht="18" customHeight="1">
      <c r="A15" s="378" t="s">
        <v>46</v>
      </c>
      <c r="B15" s="247">
        <v>21.6</v>
      </c>
      <c r="C15" s="72">
        <v>24</v>
      </c>
      <c r="D15" s="73">
        <v>35</v>
      </c>
      <c r="E15" s="74"/>
      <c r="F15" s="72"/>
      <c r="G15" s="72"/>
      <c r="H15" s="75">
        <f t="shared" si="2"/>
        <v>50000</v>
      </c>
      <c r="I15" s="76">
        <f t="shared" si="1"/>
        <v>50000</v>
      </c>
      <c r="J15" s="101"/>
      <c r="K15" s="102"/>
      <c r="L15" s="102"/>
      <c r="M15" s="103"/>
      <c r="N15" s="104"/>
    </row>
    <row r="16" spans="1:9" s="81" customFormat="1" ht="18" customHeight="1">
      <c r="A16" s="378" t="s">
        <v>36</v>
      </c>
      <c r="B16" s="247">
        <v>18.5</v>
      </c>
      <c r="C16" s="72">
        <v>23</v>
      </c>
      <c r="D16" s="73">
        <v>35</v>
      </c>
      <c r="E16" s="74"/>
      <c r="F16" s="12"/>
      <c r="G16" s="12"/>
      <c r="H16" s="75">
        <f t="shared" si="2"/>
        <v>50000</v>
      </c>
      <c r="I16" s="76">
        <f t="shared" si="1"/>
        <v>50000</v>
      </c>
    </row>
    <row r="17" spans="1:18" s="81" customFormat="1" ht="18" customHeight="1">
      <c r="A17" s="378" t="s">
        <v>40</v>
      </c>
      <c r="B17" s="247">
        <v>20.9</v>
      </c>
      <c r="C17" s="72">
        <v>23</v>
      </c>
      <c r="D17" s="92">
        <v>41</v>
      </c>
      <c r="E17" s="12"/>
      <c r="F17" s="12"/>
      <c r="G17" s="12"/>
      <c r="H17" s="75">
        <f t="shared" si="2"/>
        <v>50000</v>
      </c>
      <c r="I17" s="76">
        <f t="shared" si="1"/>
        <v>50000</v>
      </c>
      <c r="O17" s="86"/>
      <c r="P17" s="86"/>
      <c r="Q17" s="86"/>
      <c r="R17" s="87"/>
    </row>
    <row r="18" spans="1:13" s="81" customFormat="1" ht="18" customHeight="1">
      <c r="A18" s="378" t="s">
        <v>28</v>
      </c>
      <c r="B18" s="247">
        <v>11.6</v>
      </c>
      <c r="C18" s="72">
        <v>21</v>
      </c>
      <c r="D18" s="73">
        <v>40</v>
      </c>
      <c r="E18" s="74">
        <v>6.8</v>
      </c>
      <c r="F18" s="72"/>
      <c r="G18" s="72"/>
      <c r="H18" s="75">
        <f t="shared" si="2"/>
        <v>410000</v>
      </c>
      <c r="I18" s="76">
        <f t="shared" si="1"/>
        <v>410000</v>
      </c>
      <c r="J18" s="87"/>
      <c r="K18" s="87"/>
      <c r="L18" s="87"/>
      <c r="M18" s="87"/>
    </row>
    <row r="19" spans="1:13" s="81" customFormat="1" ht="18" customHeight="1">
      <c r="A19" s="378" t="s">
        <v>52</v>
      </c>
      <c r="B19" s="247">
        <v>12.2</v>
      </c>
      <c r="C19" s="73">
        <v>21</v>
      </c>
      <c r="D19" s="92">
        <v>37</v>
      </c>
      <c r="E19" s="12"/>
      <c r="F19" s="72"/>
      <c r="G19" s="72"/>
      <c r="H19" s="75">
        <f t="shared" si="2"/>
        <v>50000</v>
      </c>
      <c r="I19" s="76">
        <f t="shared" si="1"/>
        <v>50000</v>
      </c>
      <c r="J19" s="87"/>
      <c r="K19" s="87"/>
      <c r="L19" s="87"/>
      <c r="M19" s="87"/>
    </row>
    <row r="20" spans="1:9" s="57" customFormat="1" ht="18" customHeight="1">
      <c r="A20" s="378" t="s">
        <v>18</v>
      </c>
      <c r="B20" s="247">
        <v>14</v>
      </c>
      <c r="C20" s="72">
        <v>19</v>
      </c>
      <c r="D20" s="92">
        <v>37</v>
      </c>
      <c r="E20" s="74"/>
      <c r="F20" s="12"/>
      <c r="G20" s="12"/>
      <c r="H20" s="75">
        <f t="shared" si="2"/>
        <v>50000</v>
      </c>
      <c r="I20" s="76">
        <f t="shared" si="1"/>
        <v>50000</v>
      </c>
    </row>
    <row r="21" spans="1:9" s="57" customFormat="1" ht="18" customHeight="1">
      <c r="A21" s="378"/>
      <c r="B21" s="247"/>
      <c r="C21" s="73"/>
      <c r="D21" s="73"/>
      <c r="E21" s="12"/>
      <c r="F21" s="12"/>
      <c r="G21" s="12"/>
      <c r="H21" s="75">
        <f t="shared" si="2"/>
        <v>0</v>
      </c>
      <c r="I21" s="76">
        <f t="shared" si="1"/>
        <v>0</v>
      </c>
    </row>
    <row r="22" spans="1:9" s="57" customFormat="1" ht="18" customHeight="1">
      <c r="A22" s="378"/>
      <c r="B22" s="247"/>
      <c r="C22" s="72"/>
      <c r="D22" s="92"/>
      <c r="E22" s="12"/>
      <c r="F22" s="12"/>
      <c r="G22" s="12"/>
      <c r="H22" s="75">
        <f t="shared" si="2"/>
        <v>0</v>
      </c>
      <c r="I22" s="76">
        <f t="shared" si="1"/>
        <v>0</v>
      </c>
    </row>
    <row r="23" spans="1:9" s="57" customFormat="1" ht="18" customHeight="1">
      <c r="A23" s="378"/>
      <c r="B23" s="247"/>
      <c r="C23" s="72"/>
      <c r="D23" s="73"/>
      <c r="E23" s="12"/>
      <c r="F23" s="12"/>
      <c r="G23" s="12"/>
      <c r="H23" s="75">
        <f t="shared" si="2"/>
        <v>0</v>
      </c>
      <c r="I23" s="76">
        <f t="shared" si="1"/>
        <v>0</v>
      </c>
    </row>
    <row r="24" spans="1:9" s="57" customFormat="1" ht="18" customHeight="1">
      <c r="A24" s="378"/>
      <c r="B24" s="247"/>
      <c r="C24" s="12"/>
      <c r="D24" s="92"/>
      <c r="E24" s="74"/>
      <c r="F24" s="12"/>
      <c r="G24" s="12"/>
      <c r="H24" s="75">
        <f t="shared" si="2"/>
        <v>0</v>
      </c>
      <c r="I24" s="76">
        <f t="shared" si="1"/>
        <v>0</v>
      </c>
    </row>
    <row r="25" spans="1:9" s="57" customFormat="1" ht="18" customHeight="1">
      <c r="A25" s="378"/>
      <c r="B25" s="247"/>
      <c r="C25" s="73"/>
      <c r="D25" s="92"/>
      <c r="E25" s="74"/>
      <c r="F25" s="12"/>
      <c r="G25" s="12"/>
      <c r="H25" s="75">
        <f t="shared" si="2"/>
        <v>0</v>
      </c>
      <c r="I25" s="76">
        <f t="shared" si="1"/>
        <v>0</v>
      </c>
    </row>
    <row r="26" spans="1:9" s="57" customFormat="1" ht="18" customHeight="1">
      <c r="A26" s="378"/>
      <c r="B26" s="247"/>
      <c r="C26" s="73"/>
      <c r="D26" s="92"/>
      <c r="E26" s="74"/>
      <c r="F26" s="12"/>
      <c r="G26" s="12"/>
      <c r="H26" s="75">
        <f t="shared" si="2"/>
        <v>0</v>
      </c>
      <c r="I26" s="76">
        <f t="shared" si="1"/>
        <v>0</v>
      </c>
    </row>
    <row r="27" spans="1:9" s="57" customFormat="1" ht="18" customHeight="1">
      <c r="A27" s="378"/>
      <c r="B27" s="247"/>
      <c r="C27" s="72"/>
      <c r="D27" s="73"/>
      <c r="E27" s="12"/>
      <c r="F27" s="72"/>
      <c r="G27" s="72"/>
      <c r="H27" s="75">
        <f t="shared" si="2"/>
        <v>0</v>
      </c>
      <c r="I27" s="76">
        <f t="shared" si="1"/>
        <v>0</v>
      </c>
    </row>
    <row r="28" spans="1:9" s="57" customFormat="1" ht="18" customHeight="1">
      <c r="A28" s="378"/>
      <c r="B28" s="247"/>
      <c r="C28" s="72"/>
      <c r="D28" s="73"/>
      <c r="E28" s="74"/>
      <c r="F28" s="72"/>
      <c r="G28" s="72"/>
      <c r="H28" s="75">
        <f t="shared" si="2"/>
        <v>0</v>
      </c>
      <c r="I28" s="76">
        <f t="shared" si="1"/>
        <v>0</v>
      </c>
    </row>
    <row r="29" spans="1:9" ht="24" customHeight="1">
      <c r="A29" s="1"/>
      <c r="B29" s="3"/>
      <c r="C29" s="106"/>
      <c r="D29" s="3">
        <f>SUM(D4:D28)</f>
        <v>599</v>
      </c>
      <c r="E29" s="106"/>
      <c r="F29" s="3"/>
      <c r="G29" s="108">
        <f>SUM(G4:G28)</f>
        <v>39</v>
      </c>
      <c r="H29" s="108">
        <f>SUM(H4:H28)</f>
        <v>7210000</v>
      </c>
      <c r="I29" s="109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54" customWidth="1"/>
    <col min="2" max="2" width="7.8515625" style="55" customWidth="1"/>
    <col min="3" max="3" width="8.421875" style="56" customWidth="1"/>
    <col min="4" max="4" width="6.8515625" style="55" customWidth="1"/>
    <col min="5" max="5" width="8.140625" style="55" customWidth="1"/>
    <col min="6" max="6" width="10.140625" style="55" customWidth="1"/>
    <col min="7" max="7" width="9.140625" style="55" customWidth="1"/>
    <col min="8" max="8" width="13.421875" style="55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" width="9.140625" style="170" customWidth="1"/>
    <col min="17" max="16384" width="9.140625" style="8" customWidth="1"/>
  </cols>
  <sheetData>
    <row r="1" spans="2:16" s="57" customFormat="1" ht="43.5" customHeight="1">
      <c r="B1" s="435" t="str">
        <f>'Tourplan m. sløjfer'!D11</f>
        <v>RBC Heritage 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P1" s="167"/>
    </row>
    <row r="2" spans="2:16" s="57" customFormat="1" ht="29.25" customHeight="1">
      <c r="B2" s="444" t="s">
        <v>218</v>
      </c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P2" s="167"/>
    </row>
    <row r="3" spans="1:16" s="70" customFormat="1" ht="27" customHeight="1">
      <c r="A3" s="59" t="s">
        <v>77</v>
      </c>
      <c r="B3" s="60" t="s">
        <v>78</v>
      </c>
      <c r="C3" s="60" t="s">
        <v>79</v>
      </c>
      <c r="D3" s="60" t="s">
        <v>106</v>
      </c>
      <c r="E3" s="60" t="s">
        <v>81</v>
      </c>
      <c r="F3" s="61" t="s">
        <v>82</v>
      </c>
      <c r="G3" s="62" t="s">
        <v>83</v>
      </c>
      <c r="H3" s="63" t="s">
        <v>84</v>
      </c>
      <c r="I3" s="64"/>
      <c r="J3" s="65" t="s">
        <v>82</v>
      </c>
      <c r="K3" s="66"/>
      <c r="L3" s="67"/>
      <c r="M3" s="68" t="s">
        <v>83</v>
      </c>
      <c r="N3" s="69" t="s">
        <v>85</v>
      </c>
      <c r="P3" s="168"/>
    </row>
    <row r="4" spans="1:16" s="81" customFormat="1" ht="18" customHeight="1">
      <c r="A4" s="378" t="s">
        <v>28</v>
      </c>
      <c r="B4" s="247">
        <v>11.5</v>
      </c>
      <c r="C4" s="73">
        <v>31</v>
      </c>
      <c r="D4" s="73">
        <v>28</v>
      </c>
      <c r="E4" s="74"/>
      <c r="F4" s="72">
        <v>1</v>
      </c>
      <c r="G4" s="72">
        <v>10</v>
      </c>
      <c r="H4" s="75">
        <f>N4+I4</f>
        <v>1550000</v>
      </c>
      <c r="I4" s="76">
        <f>IF(E4&gt;0,$N$13,0)+IF(C4&gt;0,50000,0)+IF(C4&lt;0,50000,0)</f>
        <v>50000</v>
      </c>
      <c r="J4" s="77" t="s">
        <v>86</v>
      </c>
      <c r="K4" s="78"/>
      <c r="L4" s="79"/>
      <c r="M4" s="80">
        <v>10</v>
      </c>
      <c r="N4" s="75">
        <f>N12*25%</f>
        <v>1500000</v>
      </c>
      <c r="P4" s="169"/>
    </row>
    <row r="5" spans="1:16" s="81" customFormat="1" ht="18" customHeight="1">
      <c r="A5" s="378" t="s">
        <v>148</v>
      </c>
      <c r="B5" s="247">
        <v>11.6</v>
      </c>
      <c r="C5" s="72">
        <v>31</v>
      </c>
      <c r="D5" s="92">
        <v>28</v>
      </c>
      <c r="E5" s="74"/>
      <c r="F5" s="72">
        <v>2</v>
      </c>
      <c r="G5" s="72">
        <v>8</v>
      </c>
      <c r="H5" s="75">
        <f aca="true" t="shared" si="0" ref="H5:H11">N5+I5</f>
        <v>1250000</v>
      </c>
      <c r="I5" s="76">
        <f aca="true" t="shared" si="1" ref="I5:I27">IF(E5&gt;0,$N$13,0)+IF(C5&gt;0,50000,0)+IF(C5&lt;0,50000,0)</f>
        <v>50000</v>
      </c>
      <c r="J5" s="82" t="s">
        <v>87</v>
      </c>
      <c r="K5" s="83"/>
      <c r="L5" s="84"/>
      <c r="M5" s="85">
        <v>8</v>
      </c>
      <c r="N5" s="75">
        <f>N12*20%</f>
        <v>1200000</v>
      </c>
      <c r="P5" s="169"/>
    </row>
    <row r="6" spans="1:16" s="81" customFormat="1" ht="18" customHeight="1">
      <c r="A6" s="378" t="s">
        <v>18</v>
      </c>
      <c r="B6" s="247">
        <v>13.9</v>
      </c>
      <c r="C6" s="72">
        <v>30</v>
      </c>
      <c r="D6" s="73">
        <v>28</v>
      </c>
      <c r="E6" s="74"/>
      <c r="F6" s="12">
        <v>3</v>
      </c>
      <c r="G6" s="12">
        <v>6</v>
      </c>
      <c r="H6" s="75">
        <f>N6+50000+100000</f>
        <v>1050000</v>
      </c>
      <c r="I6" s="76">
        <f t="shared" si="1"/>
        <v>50000</v>
      </c>
      <c r="J6" s="82" t="s">
        <v>88</v>
      </c>
      <c r="K6" s="83"/>
      <c r="L6" s="84"/>
      <c r="M6" s="85">
        <v>6</v>
      </c>
      <c r="N6" s="75">
        <f>N12*15%</f>
        <v>900000</v>
      </c>
      <c r="P6" s="169"/>
    </row>
    <row r="7" spans="1:18" s="81" customFormat="1" ht="18" customHeight="1">
      <c r="A7" s="378" t="s">
        <v>34</v>
      </c>
      <c r="B7" s="247">
        <v>16</v>
      </c>
      <c r="C7" s="72">
        <v>30</v>
      </c>
      <c r="D7" s="73">
        <v>34</v>
      </c>
      <c r="E7" s="74"/>
      <c r="F7" s="72">
        <v>4</v>
      </c>
      <c r="G7" s="72">
        <v>5</v>
      </c>
      <c r="H7" s="75">
        <f>N7+50000+100000</f>
        <v>870000</v>
      </c>
      <c r="I7" s="76">
        <f t="shared" si="1"/>
        <v>50000</v>
      </c>
      <c r="J7" s="82" t="s">
        <v>89</v>
      </c>
      <c r="K7" s="83"/>
      <c r="L7" s="84"/>
      <c r="M7" s="85">
        <v>5</v>
      </c>
      <c r="N7" s="75">
        <f>N12*12%</f>
        <v>720000</v>
      </c>
      <c r="O7" s="86"/>
      <c r="P7" s="169"/>
      <c r="Q7" s="86"/>
      <c r="R7" s="87"/>
    </row>
    <row r="8" spans="1:16" s="81" customFormat="1" ht="18" customHeight="1">
      <c r="A8" s="378" t="s">
        <v>26</v>
      </c>
      <c r="B8" s="247">
        <v>22.7</v>
      </c>
      <c r="C8" s="12">
        <v>30</v>
      </c>
      <c r="D8" s="73">
        <v>30</v>
      </c>
      <c r="E8" s="74"/>
      <c r="F8" s="72">
        <v>5</v>
      </c>
      <c r="G8" s="72">
        <v>4</v>
      </c>
      <c r="H8" s="75">
        <f t="shared" si="0"/>
        <v>650000</v>
      </c>
      <c r="I8" s="76">
        <f t="shared" si="1"/>
        <v>50000</v>
      </c>
      <c r="J8" s="82" t="s">
        <v>90</v>
      </c>
      <c r="K8" s="83"/>
      <c r="L8" s="84"/>
      <c r="M8" s="85">
        <v>4</v>
      </c>
      <c r="N8" s="75">
        <f>N12*10%</f>
        <v>600000</v>
      </c>
      <c r="P8" s="169"/>
    </row>
    <row r="9" spans="1:16" s="81" customFormat="1" ht="18" customHeight="1">
      <c r="A9" s="378" t="s">
        <v>38</v>
      </c>
      <c r="B9" s="247">
        <v>13.2</v>
      </c>
      <c r="C9" s="72">
        <v>29</v>
      </c>
      <c r="D9" s="73">
        <v>30</v>
      </c>
      <c r="E9" s="74"/>
      <c r="F9" s="89">
        <v>6</v>
      </c>
      <c r="G9" s="89">
        <v>3</v>
      </c>
      <c r="H9" s="75">
        <f t="shared" si="0"/>
        <v>530000</v>
      </c>
      <c r="I9" s="76">
        <f t="shared" si="1"/>
        <v>50000</v>
      </c>
      <c r="J9" s="82" t="s">
        <v>91</v>
      </c>
      <c r="K9" s="83"/>
      <c r="L9" s="84"/>
      <c r="M9" s="85">
        <v>3</v>
      </c>
      <c r="N9" s="75">
        <f>N12*8%</f>
        <v>480000</v>
      </c>
      <c r="P9" s="169"/>
    </row>
    <row r="10" spans="1:16" s="81" customFormat="1" ht="18" customHeight="1">
      <c r="A10" s="378" t="s">
        <v>30</v>
      </c>
      <c r="B10" s="247">
        <v>9.9</v>
      </c>
      <c r="C10" s="72">
        <v>26</v>
      </c>
      <c r="D10" s="73">
        <v>33</v>
      </c>
      <c r="E10" s="74"/>
      <c r="F10" s="72">
        <v>7</v>
      </c>
      <c r="G10" s="72">
        <v>2</v>
      </c>
      <c r="H10" s="75">
        <f t="shared" si="0"/>
        <v>410000</v>
      </c>
      <c r="I10" s="76">
        <f t="shared" si="1"/>
        <v>50000</v>
      </c>
      <c r="J10" s="82" t="s">
        <v>92</v>
      </c>
      <c r="K10" s="83"/>
      <c r="L10" s="84"/>
      <c r="M10" s="85">
        <v>2</v>
      </c>
      <c r="N10" s="75">
        <f>N12*6%</f>
        <v>360000</v>
      </c>
      <c r="P10" s="169"/>
    </row>
    <row r="11" spans="1:16" s="81" customFormat="1" ht="18" customHeight="1">
      <c r="A11" s="378" t="s">
        <v>166</v>
      </c>
      <c r="B11" s="247">
        <v>13.9</v>
      </c>
      <c r="C11" s="72">
        <v>25</v>
      </c>
      <c r="D11" s="73">
        <v>38</v>
      </c>
      <c r="E11" s="74">
        <v>3.75</v>
      </c>
      <c r="F11" s="72">
        <v>8</v>
      </c>
      <c r="G11" s="72">
        <v>1</v>
      </c>
      <c r="H11" s="75">
        <f t="shared" si="0"/>
        <v>650000</v>
      </c>
      <c r="I11" s="76">
        <f t="shared" si="1"/>
        <v>410000</v>
      </c>
      <c r="J11" s="82" t="s">
        <v>93</v>
      </c>
      <c r="K11" s="83"/>
      <c r="L11" s="84"/>
      <c r="M11" s="85">
        <v>1</v>
      </c>
      <c r="N11" s="75">
        <f>N12*4%</f>
        <v>240000</v>
      </c>
      <c r="P11" s="169"/>
    </row>
    <row r="12" spans="1:16" s="81" customFormat="1" ht="18" customHeight="1">
      <c r="A12" s="378" t="s">
        <v>36</v>
      </c>
      <c r="B12" s="247">
        <v>18.4</v>
      </c>
      <c r="C12" s="73">
        <v>24</v>
      </c>
      <c r="D12" s="92">
        <v>40</v>
      </c>
      <c r="E12" s="74"/>
      <c r="F12" s="72"/>
      <c r="G12" s="72"/>
      <c r="H12" s="75">
        <f>I12</f>
        <v>50000</v>
      </c>
      <c r="I12" s="76">
        <f t="shared" si="1"/>
        <v>50000</v>
      </c>
      <c r="J12" s="90" t="s">
        <v>94</v>
      </c>
      <c r="K12" s="83"/>
      <c r="L12" s="84"/>
      <c r="M12" s="85"/>
      <c r="N12" s="91">
        <v>6000000</v>
      </c>
      <c r="P12" s="169"/>
    </row>
    <row r="13" spans="1:16" s="81" customFormat="1" ht="18" customHeight="1">
      <c r="A13" s="378"/>
      <c r="B13" s="247"/>
      <c r="C13" s="73"/>
      <c r="D13" s="92"/>
      <c r="E13" s="74"/>
      <c r="F13" s="72"/>
      <c r="G13" s="72"/>
      <c r="H13" s="75">
        <f aca="true" t="shared" si="2" ref="H13:H27">I13</f>
        <v>0</v>
      </c>
      <c r="I13" s="76">
        <f t="shared" si="1"/>
        <v>0</v>
      </c>
      <c r="J13" s="93" t="s">
        <v>95</v>
      </c>
      <c r="K13" s="94"/>
      <c r="L13" s="95"/>
      <c r="M13" s="96">
        <v>1</v>
      </c>
      <c r="N13" s="97">
        <f>N10</f>
        <v>360000</v>
      </c>
      <c r="P13" s="169"/>
    </row>
    <row r="14" spans="1:16" s="81" customFormat="1" ht="18" customHeight="1">
      <c r="A14" s="378"/>
      <c r="B14" s="247"/>
      <c r="C14" s="72"/>
      <c r="D14" s="73"/>
      <c r="E14" s="74"/>
      <c r="F14" s="72"/>
      <c r="G14" s="72"/>
      <c r="H14" s="75">
        <f t="shared" si="2"/>
        <v>0</v>
      </c>
      <c r="I14" s="76">
        <f t="shared" si="1"/>
        <v>0</v>
      </c>
      <c r="J14" s="98"/>
      <c r="K14" s="94"/>
      <c r="L14" s="94"/>
      <c r="M14" s="99"/>
      <c r="N14" s="100"/>
      <c r="P14" s="169"/>
    </row>
    <row r="15" spans="1:16" s="81" customFormat="1" ht="18" customHeight="1">
      <c r="A15" s="378"/>
      <c r="B15" s="247"/>
      <c r="C15" s="72"/>
      <c r="D15" s="73"/>
      <c r="E15" s="12"/>
      <c r="F15" s="72"/>
      <c r="G15" s="72"/>
      <c r="H15" s="75">
        <f t="shared" si="2"/>
        <v>0</v>
      </c>
      <c r="I15" s="76">
        <f t="shared" si="1"/>
        <v>0</v>
      </c>
      <c r="J15" s="101"/>
      <c r="K15" s="102"/>
      <c r="L15" s="102"/>
      <c r="M15" s="103"/>
      <c r="N15" s="104"/>
      <c r="P15" s="169"/>
    </row>
    <row r="16" spans="1:16" s="81" customFormat="1" ht="18" customHeight="1">
      <c r="A16" s="378"/>
      <c r="B16" s="247"/>
      <c r="C16" s="72"/>
      <c r="D16" s="73"/>
      <c r="E16" s="12"/>
      <c r="F16" s="12"/>
      <c r="G16" s="12"/>
      <c r="H16" s="75">
        <f t="shared" si="2"/>
        <v>0</v>
      </c>
      <c r="I16" s="76">
        <f t="shared" si="1"/>
        <v>0</v>
      </c>
      <c r="P16" s="169"/>
    </row>
    <row r="17" spans="1:18" s="81" customFormat="1" ht="18" customHeight="1">
      <c r="A17" s="378"/>
      <c r="B17" s="247"/>
      <c r="C17" s="72"/>
      <c r="D17" s="73"/>
      <c r="E17" s="92"/>
      <c r="F17" s="12"/>
      <c r="G17" s="12"/>
      <c r="H17" s="75">
        <f t="shared" si="2"/>
        <v>0</v>
      </c>
      <c r="I17" s="76">
        <f t="shared" si="1"/>
        <v>0</v>
      </c>
      <c r="O17" s="86"/>
      <c r="P17" s="169"/>
      <c r="Q17" s="86"/>
      <c r="R17" s="87"/>
    </row>
    <row r="18" spans="1:16" s="81" customFormat="1" ht="18" customHeight="1">
      <c r="A18" s="378"/>
      <c r="B18" s="247"/>
      <c r="C18" s="72"/>
      <c r="D18" s="92"/>
      <c r="E18" s="12"/>
      <c r="F18" s="72"/>
      <c r="G18" s="72"/>
      <c r="H18" s="75">
        <f t="shared" si="2"/>
        <v>0</v>
      </c>
      <c r="I18" s="76">
        <f t="shared" si="1"/>
        <v>0</v>
      </c>
      <c r="J18" s="87"/>
      <c r="K18" s="87"/>
      <c r="L18" s="87"/>
      <c r="M18" s="87"/>
      <c r="P18" s="169"/>
    </row>
    <row r="19" spans="1:16" s="81" customFormat="1" ht="18" customHeight="1">
      <c r="A19" s="378"/>
      <c r="B19" s="247"/>
      <c r="C19" s="12"/>
      <c r="D19" s="92"/>
      <c r="E19" s="74"/>
      <c r="F19" s="72"/>
      <c r="G19" s="72"/>
      <c r="H19" s="75">
        <f t="shared" si="2"/>
        <v>0</v>
      </c>
      <c r="I19" s="76">
        <f t="shared" si="1"/>
        <v>0</v>
      </c>
      <c r="J19" s="87"/>
      <c r="K19" s="87"/>
      <c r="L19" s="87"/>
      <c r="M19" s="87"/>
      <c r="P19" s="169"/>
    </row>
    <row r="20" spans="1:16" s="57" customFormat="1" ht="18" customHeight="1">
      <c r="A20" s="378"/>
      <c r="B20" s="247"/>
      <c r="C20" s="92"/>
      <c r="D20" s="73"/>
      <c r="E20" s="74"/>
      <c r="F20" s="12"/>
      <c r="G20" s="12"/>
      <c r="H20" s="75">
        <f t="shared" si="2"/>
        <v>0</v>
      </c>
      <c r="I20" s="76">
        <f t="shared" si="1"/>
        <v>0</v>
      </c>
      <c r="P20" s="169"/>
    </row>
    <row r="21" spans="1:16" s="57" customFormat="1" ht="18" customHeight="1">
      <c r="A21" s="378"/>
      <c r="B21" s="247"/>
      <c r="C21" s="72"/>
      <c r="D21" s="92"/>
      <c r="E21" s="74"/>
      <c r="F21" s="12"/>
      <c r="G21" s="12"/>
      <c r="H21" s="75">
        <f t="shared" si="2"/>
        <v>0</v>
      </c>
      <c r="I21" s="76">
        <f t="shared" si="1"/>
        <v>0</v>
      </c>
      <c r="P21" s="169"/>
    </row>
    <row r="22" spans="1:16" s="57" customFormat="1" ht="18" customHeight="1">
      <c r="A22" s="152"/>
      <c r="B22" s="247"/>
      <c r="C22" s="72"/>
      <c r="D22" s="92"/>
      <c r="E22" s="12"/>
      <c r="F22" s="12"/>
      <c r="G22" s="12"/>
      <c r="H22" s="75">
        <f t="shared" si="2"/>
        <v>0</v>
      </c>
      <c r="I22" s="76">
        <f t="shared" si="1"/>
        <v>0</v>
      </c>
      <c r="P22" s="169"/>
    </row>
    <row r="23" spans="1:16" s="57" customFormat="1" ht="18" customHeight="1">
      <c r="A23" s="152"/>
      <c r="B23" s="247"/>
      <c r="C23" s="73"/>
      <c r="D23" s="92"/>
      <c r="E23" s="12"/>
      <c r="F23" s="12"/>
      <c r="G23" s="12"/>
      <c r="H23" s="75">
        <f t="shared" si="2"/>
        <v>0</v>
      </c>
      <c r="I23" s="76">
        <f t="shared" si="1"/>
        <v>0</v>
      </c>
      <c r="P23" s="169"/>
    </row>
    <row r="24" spans="1:16" s="57" customFormat="1" ht="18" customHeight="1">
      <c r="A24" s="152"/>
      <c r="B24" s="247"/>
      <c r="C24" s="72"/>
      <c r="D24" s="73"/>
      <c r="E24" s="12"/>
      <c r="F24" s="12"/>
      <c r="G24" s="12"/>
      <c r="H24" s="75">
        <f t="shared" si="2"/>
        <v>0</v>
      </c>
      <c r="I24" s="76">
        <f t="shared" si="1"/>
        <v>0</v>
      </c>
      <c r="P24" s="169"/>
    </row>
    <row r="25" spans="1:16" s="57" customFormat="1" ht="18" customHeight="1">
      <c r="A25" s="152"/>
      <c r="B25" s="247"/>
      <c r="C25" s="72"/>
      <c r="D25" s="73"/>
      <c r="E25" s="12"/>
      <c r="F25" s="12"/>
      <c r="G25" s="12"/>
      <c r="H25" s="75">
        <f t="shared" si="2"/>
        <v>0</v>
      </c>
      <c r="I25" s="76">
        <f t="shared" si="1"/>
        <v>0</v>
      </c>
      <c r="P25" s="169"/>
    </row>
    <row r="26" spans="1:16" s="57" customFormat="1" ht="18" customHeight="1">
      <c r="A26" s="152"/>
      <c r="B26" s="247"/>
      <c r="C26" s="73"/>
      <c r="D26" s="73"/>
      <c r="E26" s="12"/>
      <c r="F26" s="72"/>
      <c r="G26" s="72"/>
      <c r="H26" s="75">
        <f t="shared" si="2"/>
        <v>0</v>
      </c>
      <c r="I26" s="76">
        <f t="shared" si="1"/>
        <v>0</v>
      </c>
      <c r="P26" s="169"/>
    </row>
    <row r="27" spans="1:16" s="57" customFormat="1" ht="18" customHeight="1">
      <c r="A27" s="152"/>
      <c r="B27" s="247"/>
      <c r="C27" s="73"/>
      <c r="D27" s="181"/>
      <c r="E27" s="74"/>
      <c r="F27" s="72"/>
      <c r="G27" s="72"/>
      <c r="H27" s="75">
        <f t="shared" si="2"/>
        <v>0</v>
      </c>
      <c r="I27" s="76">
        <f t="shared" si="1"/>
        <v>0</v>
      </c>
      <c r="P27" s="169"/>
    </row>
    <row r="28" spans="3:9" ht="24" customHeight="1" thickBot="1">
      <c r="C28" s="106"/>
      <c r="D28" s="182">
        <f>SUM(D4:D27)</f>
        <v>289</v>
      </c>
      <c r="E28" s="106"/>
      <c r="F28" s="3"/>
      <c r="G28" s="108">
        <f>SUM(G4:G27)</f>
        <v>39</v>
      </c>
      <c r="H28" s="108">
        <f>SUM(H4:H27)</f>
        <v>7010000</v>
      </c>
      <c r="I28" s="109"/>
    </row>
    <row r="29" ht="18.75" thickTop="1"/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9"/>
  <ignoredErrors>
    <ignoredError sqref="H6" formula="1"/>
  </ignoredErrors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zoomScalePageLayoutView="0" workbookViewId="0" topLeftCell="A1">
      <selection activeCell="A1" sqref="A1:N28"/>
    </sheetView>
  </sheetViews>
  <sheetFormatPr defaultColWidth="9.140625" defaultRowHeight="12.75"/>
  <cols>
    <col min="1" max="1" width="25.140625" style="54" customWidth="1"/>
    <col min="2" max="2" width="7.8515625" style="55" customWidth="1"/>
    <col min="3" max="3" width="8.421875" style="56" customWidth="1"/>
    <col min="4" max="4" width="6.8515625" style="55" customWidth="1"/>
    <col min="5" max="5" width="8.140625" style="55" customWidth="1"/>
    <col min="6" max="6" width="10.140625" style="55" customWidth="1"/>
    <col min="7" max="7" width="9.140625" style="55" customWidth="1"/>
    <col min="8" max="8" width="13.421875" style="55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57" customFormat="1" ht="43.5" customHeight="1">
      <c r="B1" s="435" t="str">
        <f>'Tourplan m. sløjfer'!D10</f>
        <v>MASTERS TOURNAMENT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</row>
    <row r="2" spans="2:14" s="57" customFormat="1" ht="29.25" customHeight="1">
      <c r="B2" s="444" t="s">
        <v>219</v>
      </c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</row>
    <row r="3" spans="1:14" s="70" customFormat="1" ht="27" customHeight="1">
      <c r="A3" s="59" t="s">
        <v>77</v>
      </c>
      <c r="B3" s="60" t="s">
        <v>78</v>
      </c>
      <c r="C3" s="60" t="s">
        <v>79</v>
      </c>
      <c r="D3" s="60" t="s">
        <v>106</v>
      </c>
      <c r="E3" s="60" t="s">
        <v>81</v>
      </c>
      <c r="F3" s="61" t="s">
        <v>82</v>
      </c>
      <c r="G3" s="62" t="s">
        <v>83</v>
      </c>
      <c r="H3" s="63" t="s">
        <v>84</v>
      </c>
      <c r="I3" s="64"/>
      <c r="J3" s="65" t="s">
        <v>82</v>
      </c>
      <c r="K3" s="66"/>
      <c r="L3" s="67"/>
      <c r="M3" s="68" t="s">
        <v>83</v>
      </c>
      <c r="N3" s="69" t="s">
        <v>85</v>
      </c>
    </row>
    <row r="4" spans="1:14" s="81" customFormat="1" ht="18" customHeight="1">
      <c r="A4" s="378" t="s">
        <v>30</v>
      </c>
      <c r="B4" s="247">
        <v>9.8</v>
      </c>
      <c r="C4" s="72">
        <v>31</v>
      </c>
      <c r="D4" s="92">
        <v>34</v>
      </c>
      <c r="E4" s="12"/>
      <c r="F4" s="72">
        <v>1</v>
      </c>
      <c r="G4" s="72">
        <v>10</v>
      </c>
      <c r="H4" s="75">
        <f aca="true" t="shared" si="0" ref="H4:H10">N4+I4</f>
        <v>2050000</v>
      </c>
      <c r="I4" s="76">
        <f>IF(E4&gt;0,$N$13,0)+IF(C4&gt;0,50000,0)+IF(C4&lt;0,50000,0)</f>
        <v>50000</v>
      </c>
      <c r="J4" s="77" t="s">
        <v>86</v>
      </c>
      <c r="K4" s="78"/>
      <c r="L4" s="79"/>
      <c r="M4" s="80">
        <v>10</v>
      </c>
      <c r="N4" s="75">
        <f>N12*25%</f>
        <v>2000000</v>
      </c>
    </row>
    <row r="5" spans="1:14" s="81" customFormat="1" ht="18" customHeight="1">
      <c r="A5" s="378" t="s">
        <v>40</v>
      </c>
      <c r="B5" s="247">
        <v>20.9</v>
      </c>
      <c r="C5" s="92">
        <v>30</v>
      </c>
      <c r="D5" s="73">
        <v>35</v>
      </c>
      <c r="E5" s="12"/>
      <c r="F5" s="72">
        <v>2</v>
      </c>
      <c r="G5" s="72">
        <v>8</v>
      </c>
      <c r="H5" s="75">
        <f t="shared" si="0"/>
        <v>1650000</v>
      </c>
      <c r="I5" s="76">
        <f aca="true" t="shared" si="1" ref="I5:I28">IF(E5&gt;0,$N$13,0)+IF(C5&gt;0,50000,0)+IF(C5&lt;0,50000,0)</f>
        <v>50000</v>
      </c>
      <c r="J5" s="82" t="s">
        <v>87</v>
      </c>
      <c r="K5" s="83"/>
      <c r="L5" s="84"/>
      <c r="M5" s="85">
        <v>8</v>
      </c>
      <c r="N5" s="75">
        <f>N12*20%</f>
        <v>1600000</v>
      </c>
    </row>
    <row r="6" spans="1:14" s="81" customFormat="1" ht="18" customHeight="1">
      <c r="A6" s="378" t="s">
        <v>26</v>
      </c>
      <c r="B6" s="247">
        <v>22.7</v>
      </c>
      <c r="C6" s="72">
        <v>30</v>
      </c>
      <c r="D6" s="92">
        <v>37</v>
      </c>
      <c r="E6" s="74"/>
      <c r="F6" s="12">
        <v>3</v>
      </c>
      <c r="G6" s="12">
        <v>6</v>
      </c>
      <c r="H6" s="75">
        <f t="shared" si="0"/>
        <v>1250000</v>
      </c>
      <c r="I6" s="76">
        <f t="shared" si="1"/>
        <v>50000</v>
      </c>
      <c r="J6" s="82" t="s">
        <v>88</v>
      </c>
      <c r="K6" s="83"/>
      <c r="L6" s="84"/>
      <c r="M6" s="85">
        <v>6</v>
      </c>
      <c r="N6" s="75">
        <f>N12*15%</f>
        <v>1200000</v>
      </c>
    </row>
    <row r="7" spans="1:18" s="81" customFormat="1" ht="18" customHeight="1">
      <c r="A7" s="378" t="s">
        <v>28</v>
      </c>
      <c r="B7" s="247">
        <v>11.3</v>
      </c>
      <c r="C7" s="73">
        <v>29</v>
      </c>
      <c r="D7" s="73">
        <v>32</v>
      </c>
      <c r="E7" s="12"/>
      <c r="F7" s="72">
        <v>4</v>
      </c>
      <c r="G7" s="72">
        <v>5</v>
      </c>
      <c r="H7" s="75">
        <f t="shared" si="0"/>
        <v>1010000</v>
      </c>
      <c r="I7" s="76">
        <f t="shared" si="1"/>
        <v>50000</v>
      </c>
      <c r="J7" s="82" t="s">
        <v>89</v>
      </c>
      <c r="K7" s="83"/>
      <c r="L7" s="84"/>
      <c r="M7" s="85">
        <v>5</v>
      </c>
      <c r="N7" s="75">
        <f>N12*12%</f>
        <v>960000</v>
      </c>
      <c r="O7" s="86"/>
      <c r="P7" s="86"/>
      <c r="Q7" s="86"/>
      <c r="R7" s="87"/>
    </row>
    <row r="8" spans="1:14" s="81" customFormat="1" ht="18" customHeight="1">
      <c r="A8" s="378" t="s">
        <v>38</v>
      </c>
      <c r="B8" s="247">
        <v>13.1</v>
      </c>
      <c r="C8" s="73">
        <v>29</v>
      </c>
      <c r="D8" s="73">
        <v>34</v>
      </c>
      <c r="E8" s="12"/>
      <c r="F8" s="72">
        <v>5</v>
      </c>
      <c r="G8" s="72">
        <v>4</v>
      </c>
      <c r="H8" s="75">
        <f t="shared" si="0"/>
        <v>850000</v>
      </c>
      <c r="I8" s="76">
        <f t="shared" si="1"/>
        <v>50000</v>
      </c>
      <c r="J8" s="82" t="s">
        <v>90</v>
      </c>
      <c r="K8" s="83"/>
      <c r="L8" s="84"/>
      <c r="M8" s="85">
        <v>4</v>
      </c>
      <c r="N8" s="75">
        <f>N12*10%</f>
        <v>800000</v>
      </c>
    </row>
    <row r="9" spans="1:14" s="81" customFormat="1" ht="18" customHeight="1">
      <c r="A9" s="378" t="s">
        <v>12</v>
      </c>
      <c r="B9" s="247">
        <v>15.6</v>
      </c>
      <c r="C9" s="72">
        <v>29</v>
      </c>
      <c r="D9" s="73">
        <v>37</v>
      </c>
      <c r="E9" s="12"/>
      <c r="F9" s="89">
        <v>6</v>
      </c>
      <c r="G9" s="89">
        <v>3</v>
      </c>
      <c r="H9" s="75">
        <f t="shared" si="0"/>
        <v>690000</v>
      </c>
      <c r="I9" s="76">
        <f t="shared" si="1"/>
        <v>50000</v>
      </c>
      <c r="J9" s="82" t="s">
        <v>91</v>
      </c>
      <c r="K9" s="83"/>
      <c r="L9" s="84"/>
      <c r="M9" s="85">
        <v>3</v>
      </c>
      <c r="N9" s="75">
        <f>N12*8%</f>
        <v>640000</v>
      </c>
    </row>
    <row r="10" spans="1:14" s="81" customFormat="1" ht="18" customHeight="1">
      <c r="A10" s="378" t="s">
        <v>48</v>
      </c>
      <c r="B10" s="247">
        <v>7.6</v>
      </c>
      <c r="C10" s="72">
        <v>27</v>
      </c>
      <c r="D10" s="92">
        <v>38</v>
      </c>
      <c r="E10" s="74"/>
      <c r="F10" s="72">
        <v>7</v>
      </c>
      <c r="G10" s="72">
        <v>2</v>
      </c>
      <c r="H10" s="75">
        <f t="shared" si="0"/>
        <v>530000</v>
      </c>
      <c r="I10" s="76">
        <f t="shared" si="1"/>
        <v>50000</v>
      </c>
      <c r="J10" s="82" t="s">
        <v>92</v>
      </c>
      <c r="K10" s="83"/>
      <c r="L10" s="84"/>
      <c r="M10" s="85">
        <v>2</v>
      </c>
      <c r="N10" s="75">
        <f>N12*6%</f>
        <v>480000</v>
      </c>
    </row>
    <row r="11" spans="1:14" s="81" customFormat="1" ht="18" customHeight="1">
      <c r="A11" s="378" t="s">
        <v>18</v>
      </c>
      <c r="B11" s="247">
        <v>13.8</v>
      </c>
      <c r="C11" s="72">
        <v>26</v>
      </c>
      <c r="D11" s="92">
        <v>38</v>
      </c>
      <c r="E11" s="74" t="s">
        <v>163</v>
      </c>
      <c r="F11" s="72">
        <v>8</v>
      </c>
      <c r="G11" s="72">
        <v>1</v>
      </c>
      <c r="H11" s="75">
        <v>950000</v>
      </c>
      <c r="I11" s="76">
        <f t="shared" si="1"/>
        <v>530000</v>
      </c>
      <c r="J11" s="82" t="s">
        <v>93</v>
      </c>
      <c r="K11" s="83"/>
      <c r="L11" s="84"/>
      <c r="M11" s="85">
        <v>1</v>
      </c>
      <c r="N11" s="75">
        <f>N12*4%</f>
        <v>320000</v>
      </c>
    </row>
    <row r="12" spans="1:14" s="81" customFormat="1" ht="18" customHeight="1">
      <c r="A12" s="378" t="s">
        <v>34</v>
      </c>
      <c r="B12" s="247">
        <v>15.9</v>
      </c>
      <c r="C12" s="12">
        <v>26</v>
      </c>
      <c r="D12" s="92">
        <v>39</v>
      </c>
      <c r="E12" s="74"/>
      <c r="F12" s="72"/>
      <c r="G12" s="72"/>
      <c r="H12" s="75">
        <f>I12</f>
        <v>50000</v>
      </c>
      <c r="I12" s="76">
        <f t="shared" si="1"/>
        <v>50000</v>
      </c>
      <c r="J12" s="90" t="s">
        <v>94</v>
      </c>
      <c r="K12" s="83"/>
      <c r="L12" s="84"/>
      <c r="M12" s="85"/>
      <c r="N12" s="91">
        <v>8000000</v>
      </c>
    </row>
    <row r="13" spans="1:14" s="81" customFormat="1" ht="18" customHeight="1">
      <c r="A13" s="378" t="s">
        <v>46</v>
      </c>
      <c r="B13" s="247">
        <v>21.4</v>
      </c>
      <c r="C13" s="72">
        <v>26</v>
      </c>
      <c r="D13" s="73">
        <v>38</v>
      </c>
      <c r="E13" s="74"/>
      <c r="F13" s="72"/>
      <c r="G13" s="72"/>
      <c r="H13" s="75">
        <f aca="true" t="shared" si="2" ref="H13:H28">I13</f>
        <v>50000</v>
      </c>
      <c r="I13" s="76">
        <f t="shared" si="1"/>
        <v>50000</v>
      </c>
      <c r="J13" s="93" t="s">
        <v>95</v>
      </c>
      <c r="K13" s="94"/>
      <c r="L13" s="95"/>
      <c r="M13" s="96">
        <v>1</v>
      </c>
      <c r="N13" s="97">
        <f>N10</f>
        <v>480000</v>
      </c>
    </row>
    <row r="14" spans="1:14" s="81" customFormat="1" ht="18" customHeight="1">
      <c r="A14" s="378" t="s">
        <v>44</v>
      </c>
      <c r="B14" s="247">
        <v>15.6</v>
      </c>
      <c r="C14" s="72">
        <v>25</v>
      </c>
      <c r="D14" s="73">
        <v>39</v>
      </c>
      <c r="E14" s="74"/>
      <c r="F14" s="72"/>
      <c r="G14" s="72"/>
      <c r="H14" s="75">
        <f t="shared" si="2"/>
        <v>50000</v>
      </c>
      <c r="I14" s="76">
        <f t="shared" si="1"/>
        <v>50000</v>
      </c>
      <c r="J14" s="98"/>
      <c r="K14" s="94"/>
      <c r="L14" s="94"/>
      <c r="M14" s="99"/>
      <c r="N14" s="100"/>
    </row>
    <row r="15" spans="1:14" s="81" customFormat="1" ht="18" customHeight="1">
      <c r="A15" s="378" t="s">
        <v>20</v>
      </c>
      <c r="B15" s="247">
        <v>16.1</v>
      </c>
      <c r="C15" s="72">
        <v>25</v>
      </c>
      <c r="D15" s="73">
        <v>36</v>
      </c>
      <c r="E15" s="74">
        <v>4.34</v>
      </c>
      <c r="F15" s="72"/>
      <c r="G15" s="72"/>
      <c r="H15" s="75">
        <v>150000</v>
      </c>
      <c r="I15" s="76">
        <f t="shared" si="1"/>
        <v>530000</v>
      </c>
      <c r="J15" s="101"/>
      <c r="K15" s="102"/>
      <c r="L15" s="102"/>
      <c r="M15" s="103"/>
      <c r="N15" s="104"/>
    </row>
    <row r="16" spans="1:9" s="81" customFormat="1" ht="18" customHeight="1">
      <c r="A16" s="378" t="s">
        <v>42</v>
      </c>
      <c r="B16" s="247">
        <v>19.2</v>
      </c>
      <c r="C16" s="73">
        <v>25</v>
      </c>
      <c r="D16" s="73">
        <v>40</v>
      </c>
      <c r="E16" s="74"/>
      <c r="F16" s="12"/>
      <c r="G16" s="12"/>
      <c r="H16" s="75">
        <f t="shared" si="2"/>
        <v>50000</v>
      </c>
      <c r="I16" s="76">
        <f t="shared" si="1"/>
        <v>50000</v>
      </c>
    </row>
    <row r="17" spans="1:18" s="81" customFormat="1" ht="18" customHeight="1">
      <c r="A17" s="378" t="s">
        <v>148</v>
      </c>
      <c r="B17" s="247">
        <v>11</v>
      </c>
      <c r="C17" s="73">
        <v>23</v>
      </c>
      <c r="D17" s="92">
        <v>36</v>
      </c>
      <c r="E17" s="89"/>
      <c r="F17" s="12"/>
      <c r="G17" s="12"/>
      <c r="H17" s="75">
        <f t="shared" si="2"/>
        <v>50000</v>
      </c>
      <c r="I17" s="76">
        <f t="shared" si="1"/>
        <v>50000</v>
      </c>
      <c r="O17" s="86"/>
      <c r="P17" s="86"/>
      <c r="Q17" s="86"/>
      <c r="R17" s="87"/>
    </row>
    <row r="18" spans="1:13" s="81" customFormat="1" ht="18" customHeight="1">
      <c r="A18" s="378" t="s">
        <v>166</v>
      </c>
      <c r="B18" s="247">
        <v>13.8</v>
      </c>
      <c r="C18" s="73">
        <v>21</v>
      </c>
      <c r="D18" s="73">
        <v>37</v>
      </c>
      <c r="E18" s="12">
        <v>3.73</v>
      </c>
      <c r="F18" s="72"/>
      <c r="G18" s="72"/>
      <c r="H18" s="75">
        <v>150000</v>
      </c>
      <c r="I18" s="76">
        <f t="shared" si="1"/>
        <v>530000</v>
      </c>
      <c r="J18" s="87"/>
      <c r="K18" s="87"/>
      <c r="L18" s="87"/>
      <c r="M18" s="87"/>
    </row>
    <row r="19" spans="1:13" s="81" customFormat="1" ht="18" customHeight="1">
      <c r="A19" s="378" t="s">
        <v>10</v>
      </c>
      <c r="B19" s="247">
        <v>12</v>
      </c>
      <c r="C19" s="12">
        <v>20</v>
      </c>
      <c r="D19" s="73">
        <v>40</v>
      </c>
      <c r="E19" s="74"/>
      <c r="F19" s="72"/>
      <c r="G19" s="72"/>
      <c r="H19" s="75">
        <f t="shared" si="2"/>
        <v>50000</v>
      </c>
      <c r="I19" s="76">
        <f t="shared" si="1"/>
        <v>50000</v>
      </c>
      <c r="J19" s="87"/>
      <c r="K19" s="87"/>
      <c r="L19" s="87"/>
      <c r="M19" s="87"/>
    </row>
    <row r="20" spans="1:9" s="57" customFormat="1" ht="18" customHeight="1">
      <c r="A20" s="378" t="s">
        <v>8</v>
      </c>
      <c r="B20" s="247">
        <v>19.9</v>
      </c>
      <c r="C20" s="73">
        <v>19</v>
      </c>
      <c r="D20" s="73">
        <v>42</v>
      </c>
      <c r="E20" s="74"/>
      <c r="F20" s="12"/>
      <c r="G20" s="12"/>
      <c r="H20" s="75">
        <f t="shared" si="2"/>
        <v>50000</v>
      </c>
      <c r="I20" s="76">
        <f t="shared" si="1"/>
        <v>50000</v>
      </c>
    </row>
    <row r="21" spans="1:9" s="57" customFormat="1" ht="18" customHeight="1">
      <c r="A21" s="378"/>
      <c r="B21" s="247"/>
      <c r="C21" s="72"/>
      <c r="D21" s="73"/>
      <c r="E21" s="12"/>
      <c r="F21" s="12"/>
      <c r="G21" s="12"/>
      <c r="H21" s="75">
        <f t="shared" si="2"/>
        <v>0</v>
      </c>
      <c r="I21" s="76">
        <f t="shared" si="1"/>
        <v>0</v>
      </c>
    </row>
    <row r="22" spans="1:9" s="57" customFormat="1" ht="18" customHeight="1">
      <c r="A22" s="378"/>
      <c r="B22" s="247"/>
      <c r="C22" s="72"/>
      <c r="D22" s="73"/>
      <c r="E22" s="74"/>
      <c r="F22" s="12"/>
      <c r="G22" s="12"/>
      <c r="H22" s="75">
        <f t="shared" si="2"/>
        <v>0</v>
      </c>
      <c r="I22" s="76">
        <f t="shared" si="1"/>
        <v>0</v>
      </c>
    </row>
    <row r="23" spans="1:9" s="57" customFormat="1" ht="18" customHeight="1">
      <c r="A23" s="378"/>
      <c r="B23" s="247"/>
      <c r="C23" s="72"/>
      <c r="D23" s="92"/>
      <c r="E23" s="74"/>
      <c r="F23" s="12"/>
      <c r="G23" s="12"/>
      <c r="H23" s="75">
        <f t="shared" si="2"/>
        <v>0</v>
      </c>
      <c r="I23" s="76">
        <f t="shared" si="1"/>
        <v>0</v>
      </c>
    </row>
    <row r="24" spans="1:9" s="57" customFormat="1" ht="18" customHeight="1">
      <c r="A24" s="378"/>
      <c r="B24" s="247"/>
      <c r="C24" s="72"/>
      <c r="D24" s="92"/>
      <c r="E24" s="74"/>
      <c r="F24" s="12"/>
      <c r="G24" s="12"/>
      <c r="H24" s="75">
        <f t="shared" si="2"/>
        <v>0</v>
      </c>
      <c r="I24" s="76">
        <f t="shared" si="1"/>
        <v>0</v>
      </c>
    </row>
    <row r="25" spans="1:9" s="57" customFormat="1" ht="18" customHeight="1">
      <c r="A25" s="378"/>
      <c r="B25" s="247"/>
      <c r="C25" s="72"/>
      <c r="D25" s="92"/>
      <c r="E25" s="74"/>
      <c r="F25" s="12"/>
      <c r="G25" s="12"/>
      <c r="H25" s="75">
        <f t="shared" si="2"/>
        <v>0</v>
      </c>
      <c r="I25" s="76"/>
    </row>
    <row r="26" spans="1:9" s="57" customFormat="1" ht="18" customHeight="1">
      <c r="A26" s="378"/>
      <c r="B26" s="247"/>
      <c r="C26" s="72"/>
      <c r="D26" s="73"/>
      <c r="E26" s="74"/>
      <c r="F26" s="12"/>
      <c r="G26" s="12"/>
      <c r="H26" s="75">
        <f t="shared" si="2"/>
        <v>0</v>
      </c>
      <c r="I26" s="76">
        <f t="shared" si="1"/>
        <v>0</v>
      </c>
    </row>
    <row r="27" spans="1:9" s="57" customFormat="1" ht="18" customHeight="1">
      <c r="A27" s="378"/>
      <c r="B27" s="247"/>
      <c r="C27" s="72"/>
      <c r="D27" s="73"/>
      <c r="E27" s="12"/>
      <c r="F27" s="72"/>
      <c r="G27" s="72"/>
      <c r="H27" s="75">
        <f t="shared" si="2"/>
        <v>0</v>
      </c>
      <c r="I27" s="76">
        <f t="shared" si="1"/>
        <v>0</v>
      </c>
    </row>
    <row r="28" spans="1:9" s="57" customFormat="1" ht="18" customHeight="1">
      <c r="A28" s="378"/>
      <c r="B28" s="247"/>
      <c r="C28" s="72"/>
      <c r="D28" s="73"/>
      <c r="E28" s="74"/>
      <c r="F28" s="72"/>
      <c r="G28" s="72"/>
      <c r="H28" s="75">
        <f t="shared" si="2"/>
        <v>0</v>
      </c>
      <c r="I28" s="76">
        <f t="shared" si="1"/>
        <v>0</v>
      </c>
    </row>
    <row r="29" spans="1:9" ht="24" customHeight="1">
      <c r="A29" s="1"/>
      <c r="B29" s="3"/>
      <c r="C29" s="106"/>
      <c r="D29" s="123">
        <f>SUM(D4:D28)</f>
        <v>632</v>
      </c>
      <c r="E29" s="106"/>
      <c r="F29" s="3"/>
      <c r="G29" s="108">
        <f>SUM(G4:G28)</f>
        <v>39</v>
      </c>
      <c r="H29" s="108">
        <f>SUM(H4:H28)</f>
        <v>9630000</v>
      </c>
      <c r="I29" s="109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9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54" customWidth="1"/>
    <col min="2" max="2" width="7.8515625" style="55" customWidth="1"/>
    <col min="3" max="3" width="8.421875" style="56" customWidth="1"/>
    <col min="4" max="4" width="6.8515625" style="55" customWidth="1"/>
    <col min="5" max="5" width="8.140625" style="55" customWidth="1"/>
    <col min="6" max="6" width="10.140625" style="55" customWidth="1"/>
    <col min="7" max="7" width="9.140625" style="55" customWidth="1"/>
    <col min="8" max="8" width="13.421875" style="55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" width="9.140625" style="170" customWidth="1"/>
    <col min="17" max="16384" width="9.140625" style="8" customWidth="1"/>
  </cols>
  <sheetData>
    <row r="1" spans="2:16" s="57" customFormat="1" ht="43.5" customHeight="1">
      <c r="B1" s="435" t="s">
        <v>113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P1" s="167"/>
    </row>
    <row r="2" spans="2:16" s="57" customFormat="1" ht="29.25" customHeight="1">
      <c r="B2" s="444" t="s">
        <v>213</v>
      </c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P2" s="167"/>
    </row>
    <row r="3" spans="1:16" s="70" customFormat="1" ht="27" customHeight="1">
      <c r="A3" s="59" t="s">
        <v>77</v>
      </c>
      <c r="B3" s="60" t="s">
        <v>78</v>
      </c>
      <c r="C3" s="60" t="s">
        <v>79</v>
      </c>
      <c r="D3" s="60" t="s">
        <v>106</v>
      </c>
      <c r="E3" s="60" t="s">
        <v>81</v>
      </c>
      <c r="F3" s="61" t="s">
        <v>82</v>
      </c>
      <c r="G3" s="62" t="s">
        <v>83</v>
      </c>
      <c r="H3" s="63" t="s">
        <v>84</v>
      </c>
      <c r="I3" s="64"/>
      <c r="J3" s="65" t="s">
        <v>82</v>
      </c>
      <c r="K3" s="66"/>
      <c r="L3" s="67"/>
      <c r="M3" s="68" t="s">
        <v>83</v>
      </c>
      <c r="N3" s="69" t="s">
        <v>85</v>
      </c>
      <c r="P3" s="168"/>
    </row>
    <row r="4" spans="1:16" s="81" customFormat="1" ht="18" customHeight="1">
      <c r="A4" s="378" t="s">
        <v>28</v>
      </c>
      <c r="B4" s="247">
        <v>11.3</v>
      </c>
      <c r="C4" s="72">
        <v>46</v>
      </c>
      <c r="D4" s="73"/>
      <c r="E4" s="74"/>
      <c r="F4" s="72">
        <v>1</v>
      </c>
      <c r="G4" s="72">
        <v>10</v>
      </c>
      <c r="H4" s="75">
        <f>N4+I4</f>
        <v>1550000</v>
      </c>
      <c r="I4" s="76">
        <f>IF(E4&gt;0,$N$13,0)+IF(C4&gt;0,50000,0)+IF(C4&lt;0,50000,0)</f>
        <v>50000</v>
      </c>
      <c r="J4" s="77" t="s">
        <v>86</v>
      </c>
      <c r="K4" s="78"/>
      <c r="L4" s="79"/>
      <c r="M4" s="80">
        <v>10</v>
      </c>
      <c r="N4" s="75">
        <f>N12*25%</f>
        <v>1500000</v>
      </c>
      <c r="P4" s="169"/>
    </row>
    <row r="5" spans="1:16" s="81" customFormat="1" ht="18" customHeight="1">
      <c r="A5" s="378" t="s">
        <v>12</v>
      </c>
      <c r="B5" s="247">
        <v>15.6</v>
      </c>
      <c r="C5" s="72">
        <v>46</v>
      </c>
      <c r="D5" s="92"/>
      <c r="E5" s="74"/>
      <c r="F5" s="72">
        <v>2</v>
      </c>
      <c r="G5" s="72">
        <v>8</v>
      </c>
      <c r="H5" s="75">
        <f aca="true" t="shared" si="0" ref="H5:H11">N5+I5</f>
        <v>1250000</v>
      </c>
      <c r="I5" s="76">
        <f aca="true" t="shared" si="1" ref="I5:I28">IF(E5&gt;0,$N$13,0)+IF(C5&gt;0,50000,0)+IF(C5&lt;0,50000,0)</f>
        <v>50000</v>
      </c>
      <c r="J5" s="82" t="s">
        <v>87</v>
      </c>
      <c r="K5" s="83"/>
      <c r="L5" s="84"/>
      <c r="M5" s="85">
        <v>8</v>
      </c>
      <c r="N5" s="75">
        <f>N12*20%</f>
        <v>1200000</v>
      </c>
      <c r="P5" s="169"/>
    </row>
    <row r="6" spans="1:16" s="81" customFormat="1" ht="18" customHeight="1">
      <c r="A6" s="378" t="s">
        <v>46</v>
      </c>
      <c r="B6" s="247">
        <v>21.4</v>
      </c>
      <c r="C6" s="73">
        <v>46</v>
      </c>
      <c r="D6" s="73"/>
      <c r="E6" s="74"/>
      <c r="F6" s="12">
        <v>3</v>
      </c>
      <c r="G6" s="12">
        <v>6</v>
      </c>
      <c r="H6" s="75">
        <f>N6+50000+100000</f>
        <v>1050000</v>
      </c>
      <c r="I6" s="76">
        <f t="shared" si="1"/>
        <v>50000</v>
      </c>
      <c r="J6" s="82" t="s">
        <v>88</v>
      </c>
      <c r="K6" s="83"/>
      <c r="L6" s="84"/>
      <c r="M6" s="85">
        <v>6</v>
      </c>
      <c r="N6" s="75">
        <f>N12*15%</f>
        <v>900000</v>
      </c>
      <c r="P6" s="169"/>
    </row>
    <row r="7" spans="1:18" s="81" customFormat="1" ht="18" customHeight="1">
      <c r="A7" s="378" t="s">
        <v>34</v>
      </c>
      <c r="B7" s="247">
        <v>15.9</v>
      </c>
      <c r="C7" s="72">
        <v>44</v>
      </c>
      <c r="D7" s="73"/>
      <c r="E7" s="12"/>
      <c r="F7" s="72">
        <v>4</v>
      </c>
      <c r="G7" s="72">
        <v>5</v>
      </c>
      <c r="H7" s="75">
        <f>N7+50000+100000</f>
        <v>870000</v>
      </c>
      <c r="I7" s="76">
        <f t="shared" si="1"/>
        <v>50000</v>
      </c>
      <c r="J7" s="82" t="s">
        <v>89</v>
      </c>
      <c r="K7" s="83"/>
      <c r="L7" s="84"/>
      <c r="M7" s="85">
        <v>5</v>
      </c>
      <c r="N7" s="75">
        <f>N12*12%</f>
        <v>720000</v>
      </c>
      <c r="O7" s="86"/>
      <c r="P7" s="169"/>
      <c r="Q7" s="86"/>
      <c r="R7" s="87"/>
    </row>
    <row r="8" spans="1:16" s="81" customFormat="1" ht="18" customHeight="1">
      <c r="A8" s="378" t="s">
        <v>50</v>
      </c>
      <c r="B8" s="247">
        <v>24.4</v>
      </c>
      <c r="C8" s="73">
        <v>44</v>
      </c>
      <c r="D8" s="73"/>
      <c r="E8" s="74"/>
      <c r="F8" s="72">
        <v>5</v>
      </c>
      <c r="G8" s="72">
        <v>4</v>
      </c>
      <c r="H8" s="75">
        <f t="shared" si="0"/>
        <v>650000</v>
      </c>
      <c r="I8" s="76">
        <f t="shared" si="1"/>
        <v>50000</v>
      </c>
      <c r="J8" s="82" t="s">
        <v>90</v>
      </c>
      <c r="K8" s="83"/>
      <c r="L8" s="84"/>
      <c r="M8" s="85">
        <v>4</v>
      </c>
      <c r="N8" s="75">
        <f>N12*10%</f>
        <v>600000</v>
      </c>
      <c r="P8" s="169"/>
    </row>
    <row r="9" spans="1:16" s="81" customFormat="1" ht="18" customHeight="1">
      <c r="A9" s="378" t="s">
        <v>52</v>
      </c>
      <c r="B9" s="247">
        <v>12.2</v>
      </c>
      <c r="C9" s="73">
        <v>43</v>
      </c>
      <c r="D9" s="73"/>
      <c r="E9" s="74"/>
      <c r="F9" s="89">
        <v>6</v>
      </c>
      <c r="G9" s="89">
        <v>3</v>
      </c>
      <c r="H9" s="75">
        <f t="shared" si="0"/>
        <v>530000</v>
      </c>
      <c r="I9" s="76">
        <f t="shared" si="1"/>
        <v>50000</v>
      </c>
      <c r="J9" s="82" t="s">
        <v>91</v>
      </c>
      <c r="K9" s="83"/>
      <c r="L9" s="84"/>
      <c r="M9" s="85">
        <v>3</v>
      </c>
      <c r="N9" s="75">
        <f>N12*8%</f>
        <v>480000</v>
      </c>
      <c r="P9" s="169"/>
    </row>
    <row r="10" spans="1:16" s="81" customFormat="1" ht="18" customHeight="1">
      <c r="A10" s="378" t="s">
        <v>18</v>
      </c>
      <c r="B10" s="247">
        <v>13.8</v>
      </c>
      <c r="C10" s="73">
        <v>43</v>
      </c>
      <c r="D10" s="73"/>
      <c r="E10" s="74"/>
      <c r="F10" s="72">
        <v>7</v>
      </c>
      <c r="G10" s="72">
        <v>2</v>
      </c>
      <c r="H10" s="75">
        <f t="shared" si="0"/>
        <v>410000</v>
      </c>
      <c r="I10" s="76">
        <f t="shared" si="1"/>
        <v>50000</v>
      </c>
      <c r="J10" s="82" t="s">
        <v>92</v>
      </c>
      <c r="K10" s="83"/>
      <c r="L10" s="84"/>
      <c r="M10" s="85">
        <v>2</v>
      </c>
      <c r="N10" s="75">
        <f>N12*6%</f>
        <v>360000</v>
      </c>
      <c r="P10" s="169"/>
    </row>
    <row r="11" spans="1:16" s="81" customFormat="1" ht="18" customHeight="1">
      <c r="A11" s="378" t="s">
        <v>10</v>
      </c>
      <c r="B11" s="247">
        <v>12</v>
      </c>
      <c r="C11" s="73">
        <v>42</v>
      </c>
      <c r="D11" s="73"/>
      <c r="E11" s="12"/>
      <c r="F11" s="72">
        <v>8</v>
      </c>
      <c r="G11" s="72">
        <v>1</v>
      </c>
      <c r="H11" s="75">
        <f t="shared" si="0"/>
        <v>290000</v>
      </c>
      <c r="I11" s="76">
        <f t="shared" si="1"/>
        <v>50000</v>
      </c>
      <c r="J11" s="82" t="s">
        <v>93</v>
      </c>
      <c r="K11" s="83"/>
      <c r="L11" s="84"/>
      <c r="M11" s="85">
        <v>1</v>
      </c>
      <c r="N11" s="75">
        <f>N12*4%</f>
        <v>240000</v>
      </c>
      <c r="P11" s="169"/>
    </row>
    <row r="12" spans="1:16" s="81" customFormat="1" ht="18" customHeight="1">
      <c r="A12" s="378" t="s">
        <v>166</v>
      </c>
      <c r="B12" s="247">
        <v>13.8</v>
      </c>
      <c r="C12" s="72">
        <v>41</v>
      </c>
      <c r="D12" s="73"/>
      <c r="E12" s="74"/>
      <c r="F12" s="72"/>
      <c r="G12" s="72"/>
      <c r="H12" s="75">
        <f>I12</f>
        <v>50000</v>
      </c>
      <c r="I12" s="76">
        <f t="shared" si="1"/>
        <v>50000</v>
      </c>
      <c r="J12" s="90" t="s">
        <v>94</v>
      </c>
      <c r="K12" s="83"/>
      <c r="L12" s="84"/>
      <c r="M12" s="85"/>
      <c r="N12" s="91">
        <v>6000000</v>
      </c>
      <c r="P12" s="169"/>
    </row>
    <row r="13" spans="1:16" s="81" customFormat="1" ht="18" customHeight="1">
      <c r="A13" s="378" t="s">
        <v>8</v>
      </c>
      <c r="B13" s="247">
        <v>19.9</v>
      </c>
      <c r="C13" s="72">
        <v>41</v>
      </c>
      <c r="D13" s="92"/>
      <c r="E13" s="74"/>
      <c r="F13" s="72"/>
      <c r="G13" s="72"/>
      <c r="H13" s="75">
        <f aca="true" t="shared" si="2" ref="H13:H28">I13</f>
        <v>50000</v>
      </c>
      <c r="I13" s="76">
        <f t="shared" si="1"/>
        <v>50000</v>
      </c>
      <c r="J13" s="93" t="s">
        <v>95</v>
      </c>
      <c r="K13" s="94"/>
      <c r="L13" s="95"/>
      <c r="M13" s="96">
        <v>1</v>
      </c>
      <c r="N13" s="97">
        <f>N10</f>
        <v>360000</v>
      </c>
      <c r="P13" s="169"/>
    </row>
    <row r="14" spans="1:16" s="81" customFormat="1" ht="18" customHeight="1">
      <c r="A14" s="378" t="s">
        <v>30</v>
      </c>
      <c r="B14" s="247">
        <v>9.8</v>
      </c>
      <c r="C14" s="72">
        <v>39</v>
      </c>
      <c r="D14" s="73"/>
      <c r="E14" s="74"/>
      <c r="F14" s="72"/>
      <c r="G14" s="72"/>
      <c r="H14" s="75">
        <f t="shared" si="2"/>
        <v>50000</v>
      </c>
      <c r="I14" s="76">
        <f t="shared" si="1"/>
        <v>50000</v>
      </c>
      <c r="J14" s="98"/>
      <c r="K14" s="94"/>
      <c r="L14" s="94"/>
      <c r="M14" s="99"/>
      <c r="N14" s="100"/>
      <c r="P14" s="169"/>
    </row>
    <row r="15" spans="1:16" s="81" customFormat="1" ht="18" customHeight="1">
      <c r="A15" s="378" t="s">
        <v>38</v>
      </c>
      <c r="B15" s="247">
        <v>13.1</v>
      </c>
      <c r="C15" s="92">
        <v>39</v>
      </c>
      <c r="D15" s="73"/>
      <c r="E15" s="74"/>
      <c r="F15" s="72"/>
      <c r="G15" s="72"/>
      <c r="H15" s="75">
        <f t="shared" si="2"/>
        <v>50000</v>
      </c>
      <c r="I15" s="76">
        <f t="shared" si="1"/>
        <v>50000</v>
      </c>
      <c r="J15" s="101"/>
      <c r="K15" s="102"/>
      <c r="L15" s="102"/>
      <c r="M15" s="103"/>
      <c r="N15" s="104"/>
      <c r="P15" s="169"/>
    </row>
    <row r="16" spans="1:16" s="81" customFormat="1" ht="18" customHeight="1">
      <c r="A16" s="378" t="s">
        <v>40</v>
      </c>
      <c r="B16" s="247">
        <v>20.9</v>
      </c>
      <c r="C16" s="72">
        <v>38</v>
      </c>
      <c r="D16" s="73"/>
      <c r="E16" s="92"/>
      <c r="F16" s="12"/>
      <c r="G16" s="12"/>
      <c r="H16" s="75">
        <f t="shared" si="2"/>
        <v>50000</v>
      </c>
      <c r="I16" s="76">
        <f t="shared" si="1"/>
        <v>50000</v>
      </c>
      <c r="P16" s="169"/>
    </row>
    <row r="17" spans="1:18" s="81" customFormat="1" ht="18" customHeight="1">
      <c r="A17" s="378" t="s">
        <v>24</v>
      </c>
      <c r="B17" s="247">
        <v>13.6</v>
      </c>
      <c r="C17" s="72">
        <v>37</v>
      </c>
      <c r="D17" s="92"/>
      <c r="E17" s="12"/>
      <c r="F17" s="12"/>
      <c r="G17" s="12"/>
      <c r="H17" s="75">
        <f t="shared" si="2"/>
        <v>50000</v>
      </c>
      <c r="I17" s="76">
        <f t="shared" si="1"/>
        <v>50000</v>
      </c>
      <c r="O17" s="86"/>
      <c r="P17" s="169"/>
      <c r="Q17" s="86"/>
      <c r="R17" s="87"/>
    </row>
    <row r="18" spans="1:16" s="81" customFormat="1" ht="18" customHeight="1">
      <c r="A18" s="378" t="s">
        <v>42</v>
      </c>
      <c r="B18" s="247">
        <v>19.2</v>
      </c>
      <c r="C18" s="72">
        <v>37</v>
      </c>
      <c r="D18" s="92"/>
      <c r="E18" s="74"/>
      <c r="F18" s="72"/>
      <c r="G18" s="72"/>
      <c r="H18" s="75">
        <f t="shared" si="2"/>
        <v>50000</v>
      </c>
      <c r="I18" s="76">
        <f t="shared" si="1"/>
        <v>50000</v>
      </c>
      <c r="J18" s="87"/>
      <c r="K18" s="87"/>
      <c r="L18" s="87"/>
      <c r="M18" s="87"/>
      <c r="P18" s="169"/>
    </row>
    <row r="19" spans="1:16" s="81" customFormat="1" ht="18" customHeight="1">
      <c r="A19" s="378" t="s">
        <v>36</v>
      </c>
      <c r="B19" s="247">
        <v>18.3</v>
      </c>
      <c r="C19" s="12">
        <v>35</v>
      </c>
      <c r="D19" s="73"/>
      <c r="E19" s="74">
        <v>1.67</v>
      </c>
      <c r="F19" s="72"/>
      <c r="G19" s="72"/>
      <c r="H19" s="75">
        <f t="shared" si="2"/>
        <v>410000</v>
      </c>
      <c r="I19" s="76">
        <f t="shared" si="1"/>
        <v>410000</v>
      </c>
      <c r="J19" s="87"/>
      <c r="K19" s="87"/>
      <c r="L19" s="87"/>
      <c r="M19" s="87"/>
      <c r="P19" s="169"/>
    </row>
    <row r="20" spans="1:16" s="57" customFormat="1" ht="18" customHeight="1">
      <c r="A20" s="378"/>
      <c r="B20" s="247"/>
      <c r="C20" s="72"/>
      <c r="D20" s="92"/>
      <c r="E20" s="74"/>
      <c r="F20" s="12"/>
      <c r="G20" s="12"/>
      <c r="H20" s="75">
        <f t="shared" si="2"/>
        <v>0</v>
      </c>
      <c r="I20" s="76">
        <f t="shared" si="1"/>
        <v>0</v>
      </c>
      <c r="P20" s="169"/>
    </row>
    <row r="21" spans="1:16" s="57" customFormat="1" ht="18" customHeight="1">
      <c r="A21" s="378"/>
      <c r="B21" s="247"/>
      <c r="C21" s="72"/>
      <c r="D21" s="92"/>
      <c r="E21" s="74"/>
      <c r="F21" s="12"/>
      <c r="G21" s="12"/>
      <c r="H21" s="75">
        <f t="shared" si="2"/>
        <v>0</v>
      </c>
      <c r="I21" s="76">
        <f t="shared" si="1"/>
        <v>0</v>
      </c>
      <c r="P21" s="169"/>
    </row>
    <row r="22" spans="1:16" s="57" customFormat="1" ht="18" customHeight="1">
      <c r="A22" s="378"/>
      <c r="B22" s="247"/>
      <c r="C22" s="72"/>
      <c r="D22" s="92"/>
      <c r="E22" s="12"/>
      <c r="F22" s="12"/>
      <c r="G22" s="12"/>
      <c r="H22" s="75">
        <f t="shared" si="2"/>
        <v>0</v>
      </c>
      <c r="I22" s="76">
        <f t="shared" si="1"/>
        <v>0</v>
      </c>
      <c r="P22" s="169"/>
    </row>
    <row r="23" spans="1:16" s="57" customFormat="1" ht="18" customHeight="1">
      <c r="A23" s="378"/>
      <c r="B23" s="247"/>
      <c r="C23" s="72"/>
      <c r="D23" s="92"/>
      <c r="E23" s="12"/>
      <c r="F23" s="12"/>
      <c r="G23" s="12"/>
      <c r="H23" s="75">
        <f t="shared" si="2"/>
        <v>0</v>
      </c>
      <c r="I23" s="76">
        <f t="shared" si="1"/>
        <v>0</v>
      </c>
      <c r="P23" s="169"/>
    </row>
    <row r="24" spans="1:16" s="57" customFormat="1" ht="18" customHeight="1">
      <c r="A24" s="378"/>
      <c r="B24" s="247"/>
      <c r="C24" s="72"/>
      <c r="D24" s="92"/>
      <c r="E24" s="12"/>
      <c r="F24" s="12"/>
      <c r="G24" s="12"/>
      <c r="H24" s="75">
        <f t="shared" si="2"/>
        <v>0</v>
      </c>
      <c r="I24" s="76">
        <f t="shared" si="1"/>
        <v>0</v>
      </c>
      <c r="P24" s="169"/>
    </row>
    <row r="25" spans="1:16" s="57" customFormat="1" ht="18" customHeight="1">
      <c r="A25" s="378"/>
      <c r="B25" s="247"/>
      <c r="C25" s="72"/>
      <c r="D25" s="73"/>
      <c r="E25" s="12"/>
      <c r="F25" s="12"/>
      <c r="G25" s="12"/>
      <c r="H25" s="75">
        <f t="shared" si="2"/>
        <v>0</v>
      </c>
      <c r="I25" s="76">
        <f t="shared" si="1"/>
        <v>0</v>
      </c>
      <c r="P25" s="169"/>
    </row>
    <row r="26" spans="1:16" s="57" customFormat="1" ht="18" customHeight="1">
      <c r="A26" s="378"/>
      <c r="B26" s="247"/>
      <c r="C26" s="72"/>
      <c r="D26" s="73"/>
      <c r="E26" s="12"/>
      <c r="F26" s="12"/>
      <c r="G26" s="12"/>
      <c r="H26" s="75">
        <f t="shared" si="2"/>
        <v>0</v>
      </c>
      <c r="I26" s="76">
        <f t="shared" si="1"/>
        <v>0</v>
      </c>
      <c r="P26" s="169"/>
    </row>
    <row r="27" spans="1:16" s="57" customFormat="1" ht="18" customHeight="1">
      <c r="A27" s="378"/>
      <c r="B27" s="247"/>
      <c r="C27" s="12"/>
      <c r="D27" s="73"/>
      <c r="E27" s="12"/>
      <c r="F27" s="72"/>
      <c r="G27" s="72"/>
      <c r="H27" s="75">
        <f t="shared" si="2"/>
        <v>0</v>
      </c>
      <c r="I27" s="76">
        <f t="shared" si="1"/>
        <v>0</v>
      </c>
      <c r="P27" s="169"/>
    </row>
    <row r="28" spans="1:16" s="57" customFormat="1" ht="18" customHeight="1">
      <c r="A28" s="378"/>
      <c r="B28" s="247"/>
      <c r="C28" s="306"/>
      <c r="D28" s="181"/>
      <c r="E28" s="74"/>
      <c r="F28" s="72"/>
      <c r="G28" s="72"/>
      <c r="H28" s="75">
        <f t="shared" si="2"/>
        <v>0</v>
      </c>
      <c r="I28" s="76">
        <f t="shared" si="1"/>
        <v>0</v>
      </c>
      <c r="P28" s="169"/>
    </row>
    <row r="29" spans="1:9" ht="24" customHeight="1" thickBot="1">
      <c r="A29" s="380"/>
      <c r="B29" s="381"/>
      <c r="C29" s="106"/>
      <c r="D29" s="182">
        <f>SUM(D4:D28)</f>
        <v>0</v>
      </c>
      <c r="E29" s="106"/>
      <c r="F29" s="3"/>
      <c r="G29" s="108">
        <f>SUM(G4:G28)</f>
        <v>39</v>
      </c>
      <c r="H29" s="108">
        <f>SUM(H4:H28)</f>
        <v>7360000</v>
      </c>
      <c r="I29" s="109"/>
    </row>
    <row r="30" spans="1:2" ht="18.75" thickTop="1">
      <c r="A30" s="382"/>
      <c r="B30" s="383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O31"/>
  <sheetViews>
    <sheetView zoomScale="140" zoomScaleNormal="140" zoomScalePageLayoutView="0" workbookViewId="0" topLeftCell="A2">
      <selection activeCell="AD7" sqref="AD7"/>
    </sheetView>
  </sheetViews>
  <sheetFormatPr defaultColWidth="9.140625" defaultRowHeight="12.75"/>
  <cols>
    <col min="1" max="1" width="1.28515625" style="15" customWidth="1"/>
    <col min="2" max="2" width="25.140625" style="15" customWidth="1"/>
    <col min="3" max="3" width="10.28125" style="26" customWidth="1"/>
    <col min="4" max="36" width="3.8515625" style="26" customWidth="1"/>
    <col min="37" max="37" width="4.8515625" style="27" customWidth="1"/>
    <col min="38" max="38" width="5.421875" style="27" customWidth="1"/>
    <col min="39" max="39" width="4.421875" style="28" customWidth="1"/>
    <col min="40" max="16384" width="9.140625" style="15" customWidth="1"/>
  </cols>
  <sheetData>
    <row r="1" spans="3:39" ht="24.75" customHeight="1">
      <c r="C1" s="18" t="s">
        <v>58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29"/>
      <c r="AL1" s="29"/>
      <c r="AM1" s="30"/>
    </row>
    <row r="2" spans="2:39" s="20" customFormat="1" ht="66.75" customHeight="1">
      <c r="B2" s="21"/>
      <c r="C2" s="31" t="s">
        <v>55</v>
      </c>
      <c r="D2" s="184">
        <v>43015</v>
      </c>
      <c r="E2" s="184">
        <v>43013</v>
      </c>
      <c r="F2" s="184">
        <v>43006</v>
      </c>
      <c r="G2" s="184">
        <v>42999</v>
      </c>
      <c r="H2" s="184">
        <v>42992</v>
      </c>
      <c r="I2" s="184">
        <v>42985</v>
      </c>
      <c r="J2" s="184">
        <v>42981</v>
      </c>
      <c r="K2" s="184">
        <v>42980</v>
      </c>
      <c r="L2" s="184">
        <v>42978</v>
      </c>
      <c r="M2" s="184">
        <v>42971</v>
      </c>
      <c r="N2" s="184">
        <v>42964</v>
      </c>
      <c r="O2" s="184">
        <v>42957</v>
      </c>
      <c r="P2" s="184">
        <v>42950</v>
      </c>
      <c r="Q2" s="184">
        <v>42943</v>
      </c>
      <c r="R2" s="184">
        <v>42936</v>
      </c>
      <c r="S2" s="184">
        <v>42929</v>
      </c>
      <c r="T2" s="184">
        <v>42922</v>
      </c>
      <c r="U2" s="184">
        <v>42915</v>
      </c>
      <c r="V2" s="184">
        <v>42908</v>
      </c>
      <c r="W2" s="184">
        <v>42901</v>
      </c>
      <c r="X2" s="184" t="s">
        <v>242</v>
      </c>
      <c r="Y2" s="184" t="s">
        <v>210</v>
      </c>
      <c r="Z2" s="184">
        <v>42894</v>
      </c>
      <c r="AA2" s="184">
        <v>42887</v>
      </c>
      <c r="AB2" s="184">
        <v>42880</v>
      </c>
      <c r="AC2" s="184">
        <v>42873</v>
      </c>
      <c r="AD2" s="184">
        <v>42866</v>
      </c>
      <c r="AE2" s="184">
        <v>42859</v>
      </c>
      <c r="AF2" s="184">
        <v>42852</v>
      </c>
      <c r="AG2" s="184">
        <v>42845</v>
      </c>
      <c r="AH2" s="184">
        <v>42838</v>
      </c>
      <c r="AI2" s="184">
        <v>42831</v>
      </c>
      <c r="AJ2" s="184">
        <v>42824</v>
      </c>
      <c r="AK2" s="198" t="s">
        <v>59</v>
      </c>
      <c r="AL2" s="198" t="s">
        <v>60</v>
      </c>
      <c r="AM2" s="32" t="s">
        <v>61</v>
      </c>
    </row>
    <row r="3" spans="2:41" ht="15.75">
      <c r="B3" s="135" t="s">
        <v>29</v>
      </c>
      <c r="C3" s="136">
        <f aca="true" t="shared" si="0" ref="C3:C27">SUM(D3:AJ3)</f>
        <v>130</v>
      </c>
      <c r="D3" s="129">
        <v>5</v>
      </c>
      <c r="E3" s="129">
        <v>6</v>
      </c>
      <c r="F3" s="129">
        <v>10</v>
      </c>
      <c r="G3" s="238"/>
      <c r="H3" s="408" t="s">
        <v>295</v>
      </c>
      <c r="I3" s="241">
        <v>10</v>
      </c>
      <c r="J3" s="238">
        <v>5</v>
      </c>
      <c r="K3" s="238">
        <v>6</v>
      </c>
      <c r="L3" s="129">
        <v>5</v>
      </c>
      <c r="M3" s="129">
        <v>5</v>
      </c>
      <c r="N3" s="408" t="s">
        <v>287</v>
      </c>
      <c r="O3" s="129"/>
      <c r="P3" s="408" t="s">
        <v>279</v>
      </c>
      <c r="Q3" s="408" t="s">
        <v>279</v>
      </c>
      <c r="R3" s="129">
        <v>6</v>
      </c>
      <c r="S3" s="129">
        <v>10</v>
      </c>
      <c r="T3" s="129"/>
      <c r="U3" s="129">
        <v>5</v>
      </c>
      <c r="V3" s="408" t="s">
        <v>287</v>
      </c>
      <c r="W3" s="238">
        <v>4</v>
      </c>
      <c r="X3" s="408" t="s">
        <v>279</v>
      </c>
      <c r="Y3" s="238"/>
      <c r="Z3" s="238">
        <v>10</v>
      </c>
      <c r="AA3" s="238">
        <v>10</v>
      </c>
      <c r="AB3" s="129"/>
      <c r="AC3" s="238"/>
      <c r="AD3" s="408" t="s">
        <v>295</v>
      </c>
      <c r="AE3" s="238">
        <v>8</v>
      </c>
      <c r="AF3" s="408" t="s">
        <v>273</v>
      </c>
      <c r="AG3" s="129"/>
      <c r="AH3" s="130">
        <v>10</v>
      </c>
      <c r="AI3" s="129">
        <v>5</v>
      </c>
      <c r="AJ3" s="129">
        <v>10</v>
      </c>
      <c r="AK3" s="131">
        <f aca="true" t="shared" si="1" ref="AK3:AK27">COUNTIF(D3:AJ3,"&gt;0")</f>
        <v>18</v>
      </c>
      <c r="AL3" s="131">
        <f aca="true" t="shared" si="2" ref="AL3:AL27">SMALL(D3:AJ3,1)</f>
        <v>4</v>
      </c>
      <c r="AM3" s="132">
        <f aca="true" t="shared" si="3" ref="AM3:AM27">COUNTIF(D3:AJ3,"=10")</f>
        <v>7</v>
      </c>
      <c r="AO3" s="38" t="str">
        <f aca="true" t="shared" si="4" ref="AO3:AO27">IF(AK3&gt;18,"OBS"," ")</f>
        <v> </v>
      </c>
    </row>
    <row r="4" spans="1:41" s="24" customFormat="1" ht="15.75">
      <c r="A4" s="15"/>
      <c r="B4" s="137" t="s">
        <v>31</v>
      </c>
      <c r="C4" s="138">
        <f t="shared" si="0"/>
        <v>101</v>
      </c>
      <c r="D4" s="238">
        <v>10</v>
      </c>
      <c r="E4" s="129">
        <v>8</v>
      </c>
      <c r="F4" s="129"/>
      <c r="G4" s="129"/>
      <c r="H4" s="129"/>
      <c r="I4" s="130"/>
      <c r="J4" s="129"/>
      <c r="K4" s="238">
        <v>2</v>
      </c>
      <c r="L4" s="238"/>
      <c r="M4" s="129"/>
      <c r="N4" s="238">
        <v>4</v>
      </c>
      <c r="O4" s="238"/>
      <c r="P4" s="129"/>
      <c r="Q4" s="129"/>
      <c r="R4" s="129">
        <v>8</v>
      </c>
      <c r="S4" s="129"/>
      <c r="T4" s="129">
        <v>10</v>
      </c>
      <c r="U4" s="238">
        <v>10</v>
      </c>
      <c r="V4" s="129"/>
      <c r="W4" s="129"/>
      <c r="X4" s="129">
        <v>6</v>
      </c>
      <c r="Y4" s="129">
        <v>5</v>
      </c>
      <c r="Z4" s="238">
        <v>6</v>
      </c>
      <c r="AA4" s="129"/>
      <c r="AB4" s="238"/>
      <c r="AC4" s="129"/>
      <c r="AD4" s="129">
        <v>5</v>
      </c>
      <c r="AE4" s="238">
        <v>10</v>
      </c>
      <c r="AF4" s="238">
        <v>5</v>
      </c>
      <c r="AG4" s="129"/>
      <c r="AH4" s="130">
        <v>2</v>
      </c>
      <c r="AI4" s="129">
        <v>10</v>
      </c>
      <c r="AJ4" s="238"/>
      <c r="AK4" s="131">
        <f t="shared" si="1"/>
        <v>15</v>
      </c>
      <c r="AL4" s="131">
        <f t="shared" si="2"/>
        <v>2</v>
      </c>
      <c r="AM4" s="132">
        <f t="shared" si="3"/>
        <v>5</v>
      </c>
      <c r="AN4" s="15"/>
      <c r="AO4" s="38" t="str">
        <f t="shared" si="4"/>
        <v> </v>
      </c>
    </row>
    <row r="5" spans="1:41" ht="15.75">
      <c r="A5" s="25"/>
      <c r="B5" s="139" t="s">
        <v>49</v>
      </c>
      <c r="C5" s="140">
        <f t="shared" si="0"/>
        <v>93</v>
      </c>
      <c r="D5" s="129">
        <v>6</v>
      </c>
      <c r="E5" s="129"/>
      <c r="F5" s="238"/>
      <c r="G5" s="129"/>
      <c r="H5" s="129">
        <v>2</v>
      </c>
      <c r="I5" s="130"/>
      <c r="J5" s="238">
        <v>8</v>
      </c>
      <c r="K5" s="129">
        <v>10</v>
      </c>
      <c r="L5" s="129">
        <v>4</v>
      </c>
      <c r="M5" s="129"/>
      <c r="N5" s="129">
        <v>2</v>
      </c>
      <c r="O5" s="129"/>
      <c r="P5" s="129"/>
      <c r="Q5" s="129">
        <v>10</v>
      </c>
      <c r="R5" s="129">
        <v>5</v>
      </c>
      <c r="S5" s="129">
        <v>5</v>
      </c>
      <c r="T5" s="129"/>
      <c r="U5" s="238"/>
      <c r="V5" s="129"/>
      <c r="W5" s="129">
        <v>6</v>
      </c>
      <c r="X5" s="129">
        <v>10</v>
      </c>
      <c r="Y5" s="129">
        <v>10</v>
      </c>
      <c r="Z5" s="129"/>
      <c r="AA5" s="129">
        <v>1</v>
      </c>
      <c r="AB5" s="129">
        <v>3</v>
      </c>
      <c r="AC5" s="129">
        <v>6</v>
      </c>
      <c r="AD5" s="129">
        <v>3</v>
      </c>
      <c r="AE5" s="129"/>
      <c r="AF5" s="129"/>
      <c r="AG5" s="129"/>
      <c r="AH5" s="130"/>
      <c r="AI5" s="129">
        <v>2</v>
      </c>
      <c r="AJ5" s="238"/>
      <c r="AK5" s="131">
        <f t="shared" si="1"/>
        <v>17</v>
      </c>
      <c r="AL5" s="131">
        <f t="shared" si="2"/>
        <v>1</v>
      </c>
      <c r="AM5" s="132">
        <f t="shared" si="3"/>
        <v>4</v>
      </c>
      <c r="AO5" s="38" t="str">
        <f t="shared" si="4"/>
        <v> </v>
      </c>
    </row>
    <row r="6" spans="2:41" ht="15.75">
      <c r="B6" s="128" t="s">
        <v>35</v>
      </c>
      <c r="C6" s="133">
        <f t="shared" si="0"/>
        <v>87</v>
      </c>
      <c r="D6" s="129">
        <v>4</v>
      </c>
      <c r="E6" s="129">
        <v>2</v>
      </c>
      <c r="F6" s="129"/>
      <c r="G6" s="129">
        <v>2</v>
      </c>
      <c r="H6" s="129">
        <v>4</v>
      </c>
      <c r="I6" s="130"/>
      <c r="J6" s="129"/>
      <c r="K6" s="129">
        <v>8</v>
      </c>
      <c r="L6" s="129"/>
      <c r="M6" s="129"/>
      <c r="N6" s="129"/>
      <c r="O6" s="129"/>
      <c r="P6" s="129">
        <v>6</v>
      </c>
      <c r="Q6" s="129">
        <v>5</v>
      </c>
      <c r="R6" s="129"/>
      <c r="S6" s="129"/>
      <c r="T6" s="129">
        <v>6</v>
      </c>
      <c r="U6" s="129">
        <v>6</v>
      </c>
      <c r="V6" s="129"/>
      <c r="W6" s="129"/>
      <c r="X6" s="129">
        <v>3</v>
      </c>
      <c r="Y6" s="129"/>
      <c r="Z6" s="129">
        <v>5</v>
      </c>
      <c r="AA6" s="129">
        <v>5</v>
      </c>
      <c r="AB6" s="129">
        <v>4</v>
      </c>
      <c r="AC6" s="129">
        <v>10</v>
      </c>
      <c r="AD6" s="408" t="s">
        <v>279</v>
      </c>
      <c r="AE6" s="129">
        <v>4</v>
      </c>
      <c r="AF6" s="238">
        <v>3</v>
      </c>
      <c r="AG6" s="129"/>
      <c r="AH6" s="130">
        <v>5</v>
      </c>
      <c r="AI6" s="129"/>
      <c r="AJ6" s="129">
        <v>5</v>
      </c>
      <c r="AK6" s="131">
        <f t="shared" si="1"/>
        <v>18</v>
      </c>
      <c r="AL6" s="131">
        <f t="shared" si="2"/>
        <v>2</v>
      </c>
      <c r="AM6" s="132">
        <f t="shared" si="3"/>
        <v>1</v>
      </c>
      <c r="AO6" s="38" t="str">
        <f t="shared" si="4"/>
        <v> </v>
      </c>
    </row>
    <row r="7" spans="2:41" ht="15.75">
      <c r="B7" s="13" t="s">
        <v>39</v>
      </c>
      <c r="C7" s="134">
        <f t="shared" si="0"/>
        <v>84</v>
      </c>
      <c r="D7" s="129"/>
      <c r="E7" s="129">
        <v>4</v>
      </c>
      <c r="F7" s="238"/>
      <c r="G7" s="129">
        <v>6</v>
      </c>
      <c r="H7" s="129"/>
      <c r="I7" s="130">
        <v>6</v>
      </c>
      <c r="J7" s="129">
        <v>10</v>
      </c>
      <c r="K7" s="238">
        <v>4</v>
      </c>
      <c r="L7" s="129"/>
      <c r="M7" s="129">
        <v>6</v>
      </c>
      <c r="N7" s="129">
        <v>5</v>
      </c>
      <c r="O7" s="129">
        <v>1</v>
      </c>
      <c r="P7" s="129"/>
      <c r="Q7" s="238"/>
      <c r="R7" s="238">
        <v>1</v>
      </c>
      <c r="S7" s="238">
        <v>8</v>
      </c>
      <c r="T7" s="129">
        <v>3</v>
      </c>
      <c r="U7" s="129">
        <v>8</v>
      </c>
      <c r="V7" s="129">
        <v>2</v>
      </c>
      <c r="W7" s="129"/>
      <c r="X7" s="129"/>
      <c r="Y7" s="129">
        <v>5</v>
      </c>
      <c r="Z7" s="129"/>
      <c r="AA7" s="129"/>
      <c r="AB7" s="129">
        <v>2</v>
      </c>
      <c r="AC7" s="238"/>
      <c r="AD7" s="129"/>
      <c r="AE7" s="408" t="s">
        <v>273</v>
      </c>
      <c r="AF7" s="129"/>
      <c r="AG7" s="129">
        <v>6</v>
      </c>
      <c r="AH7" s="241">
        <v>3</v>
      </c>
      <c r="AI7" s="238">
        <v>4</v>
      </c>
      <c r="AJ7" s="129"/>
      <c r="AK7" s="131">
        <f t="shared" si="1"/>
        <v>18</v>
      </c>
      <c r="AL7" s="131">
        <f t="shared" si="2"/>
        <v>1</v>
      </c>
      <c r="AM7" s="132">
        <f t="shared" si="3"/>
        <v>1</v>
      </c>
      <c r="AO7" s="38" t="str">
        <f t="shared" si="4"/>
        <v> </v>
      </c>
    </row>
    <row r="8" spans="2:41" ht="15.75">
      <c r="B8" s="13" t="s">
        <v>149</v>
      </c>
      <c r="C8" s="134">
        <f t="shared" si="0"/>
        <v>78</v>
      </c>
      <c r="D8" s="129"/>
      <c r="E8" s="129">
        <v>1</v>
      </c>
      <c r="F8" s="129">
        <v>3</v>
      </c>
      <c r="G8" s="129"/>
      <c r="H8" s="129"/>
      <c r="I8" s="130">
        <v>8</v>
      </c>
      <c r="J8" s="129"/>
      <c r="K8" s="129"/>
      <c r="L8" s="129"/>
      <c r="M8" s="129"/>
      <c r="N8" s="129"/>
      <c r="O8" s="129"/>
      <c r="P8" s="129"/>
      <c r="Q8" s="129">
        <v>8</v>
      </c>
      <c r="R8" s="129"/>
      <c r="S8" s="129"/>
      <c r="T8" s="129"/>
      <c r="U8" s="129"/>
      <c r="V8" s="129">
        <v>10</v>
      </c>
      <c r="W8" s="129">
        <v>10</v>
      </c>
      <c r="X8" s="129"/>
      <c r="Y8" s="129"/>
      <c r="Z8" s="129"/>
      <c r="AA8" s="129"/>
      <c r="AB8" s="129">
        <v>8</v>
      </c>
      <c r="AC8" s="129">
        <v>8</v>
      </c>
      <c r="AD8" s="129">
        <v>10</v>
      </c>
      <c r="AE8" s="129"/>
      <c r="AF8" s="129"/>
      <c r="AG8" s="129">
        <v>4</v>
      </c>
      <c r="AH8" s="130">
        <v>8</v>
      </c>
      <c r="AI8" s="129"/>
      <c r="AJ8" s="129"/>
      <c r="AK8" s="131">
        <f t="shared" si="1"/>
        <v>11</v>
      </c>
      <c r="AL8" s="131">
        <f t="shared" si="2"/>
        <v>1</v>
      </c>
      <c r="AM8" s="132">
        <f t="shared" si="3"/>
        <v>3</v>
      </c>
      <c r="AO8" s="38" t="str">
        <f t="shared" si="4"/>
        <v> </v>
      </c>
    </row>
    <row r="9" spans="2:41" ht="15.75">
      <c r="B9" s="13" t="s">
        <v>43</v>
      </c>
      <c r="C9" s="134">
        <f t="shared" si="0"/>
        <v>74</v>
      </c>
      <c r="D9" s="129"/>
      <c r="E9" s="129"/>
      <c r="F9" s="129"/>
      <c r="G9" s="129">
        <v>8</v>
      </c>
      <c r="H9" s="129">
        <v>8</v>
      </c>
      <c r="I9" s="130"/>
      <c r="J9" s="129">
        <v>4</v>
      </c>
      <c r="K9" s="129"/>
      <c r="L9" s="129">
        <v>10</v>
      </c>
      <c r="M9" s="129">
        <v>3</v>
      </c>
      <c r="N9" s="129">
        <v>1</v>
      </c>
      <c r="O9" s="129"/>
      <c r="P9" s="129">
        <v>10</v>
      </c>
      <c r="Q9" s="129"/>
      <c r="R9" s="129"/>
      <c r="S9" s="238">
        <v>6</v>
      </c>
      <c r="T9" s="129">
        <v>2</v>
      </c>
      <c r="U9" s="129">
        <v>3</v>
      </c>
      <c r="V9" s="129"/>
      <c r="W9" s="129"/>
      <c r="X9" s="129">
        <v>4</v>
      </c>
      <c r="Y9" s="129">
        <v>5</v>
      </c>
      <c r="Z9" s="129"/>
      <c r="AA9" s="129"/>
      <c r="AB9" s="129"/>
      <c r="AC9" s="129"/>
      <c r="AD9" s="129">
        <v>1</v>
      </c>
      <c r="AE9" s="129"/>
      <c r="AF9" s="129">
        <v>8</v>
      </c>
      <c r="AG9" s="129">
        <v>1</v>
      </c>
      <c r="AH9" s="241"/>
      <c r="AI9" s="129"/>
      <c r="AJ9" s="129"/>
      <c r="AK9" s="131">
        <f t="shared" si="1"/>
        <v>15</v>
      </c>
      <c r="AL9" s="131">
        <f t="shared" si="2"/>
        <v>1</v>
      </c>
      <c r="AM9" s="132">
        <f t="shared" si="3"/>
        <v>2</v>
      </c>
      <c r="AO9" s="38" t="str">
        <f t="shared" si="4"/>
        <v> </v>
      </c>
    </row>
    <row r="10" spans="2:41" ht="15.75">
      <c r="B10" s="13" t="s">
        <v>13</v>
      </c>
      <c r="C10" s="134">
        <f t="shared" si="0"/>
        <v>73</v>
      </c>
      <c r="D10" s="129">
        <v>8</v>
      </c>
      <c r="E10" s="129"/>
      <c r="F10" s="129">
        <v>4</v>
      </c>
      <c r="G10" s="129">
        <v>3</v>
      </c>
      <c r="H10" s="129"/>
      <c r="I10" s="130">
        <v>2</v>
      </c>
      <c r="J10" s="129"/>
      <c r="K10" s="129"/>
      <c r="L10" s="129"/>
      <c r="M10" s="129">
        <v>10</v>
      </c>
      <c r="N10" s="129">
        <v>10</v>
      </c>
      <c r="O10" s="129">
        <v>4</v>
      </c>
      <c r="P10" s="129"/>
      <c r="Q10" s="129"/>
      <c r="R10" s="129"/>
      <c r="S10" s="129"/>
      <c r="T10" s="129"/>
      <c r="U10" s="129"/>
      <c r="V10" s="129">
        <v>6</v>
      </c>
      <c r="W10" s="129">
        <v>2</v>
      </c>
      <c r="X10" s="129"/>
      <c r="Y10" s="129"/>
      <c r="Z10" s="129">
        <v>1</v>
      </c>
      <c r="AA10" s="129"/>
      <c r="AB10" s="129">
        <v>5</v>
      </c>
      <c r="AC10" s="129"/>
      <c r="AD10" s="129"/>
      <c r="AE10" s="129">
        <v>3</v>
      </c>
      <c r="AF10" s="129">
        <v>4</v>
      </c>
      <c r="AG10" s="129"/>
      <c r="AH10" s="130"/>
      <c r="AI10" s="129">
        <v>3</v>
      </c>
      <c r="AJ10" s="129">
        <v>8</v>
      </c>
      <c r="AK10" s="131">
        <f t="shared" si="1"/>
        <v>15</v>
      </c>
      <c r="AL10" s="131">
        <f t="shared" si="2"/>
        <v>1</v>
      </c>
      <c r="AM10" s="132">
        <f t="shared" si="3"/>
        <v>2</v>
      </c>
      <c r="AO10" s="38" t="str">
        <f t="shared" si="4"/>
        <v> </v>
      </c>
    </row>
    <row r="11" spans="2:41" ht="15.75">
      <c r="B11" s="13" t="s">
        <v>15</v>
      </c>
      <c r="C11" s="134">
        <f t="shared" si="0"/>
        <v>57</v>
      </c>
      <c r="D11" s="129"/>
      <c r="E11" s="129"/>
      <c r="F11" s="129">
        <v>2</v>
      </c>
      <c r="G11" s="129">
        <v>5</v>
      </c>
      <c r="H11" s="129"/>
      <c r="I11" s="130">
        <v>3</v>
      </c>
      <c r="J11" s="129">
        <v>3</v>
      </c>
      <c r="K11" s="129"/>
      <c r="L11" s="129">
        <v>3</v>
      </c>
      <c r="M11" s="129"/>
      <c r="N11" s="129"/>
      <c r="O11" s="129">
        <v>6</v>
      </c>
      <c r="P11" s="129"/>
      <c r="Q11" s="129"/>
      <c r="R11" s="129"/>
      <c r="S11" s="129"/>
      <c r="T11" s="129"/>
      <c r="U11" s="129"/>
      <c r="V11" s="129">
        <v>8</v>
      </c>
      <c r="W11" s="129"/>
      <c r="X11" s="129">
        <v>8</v>
      </c>
      <c r="Y11" s="129">
        <v>5</v>
      </c>
      <c r="Z11" s="129"/>
      <c r="AA11" s="129">
        <v>6</v>
      </c>
      <c r="AB11" s="129">
        <v>6</v>
      </c>
      <c r="AC11" s="129"/>
      <c r="AD11" s="129"/>
      <c r="AE11" s="129">
        <v>2</v>
      </c>
      <c r="AF11" s="129"/>
      <c r="AG11" s="129"/>
      <c r="AH11" s="130"/>
      <c r="AI11" s="129"/>
      <c r="AJ11" s="129"/>
      <c r="AK11" s="131">
        <f t="shared" si="1"/>
        <v>12</v>
      </c>
      <c r="AL11" s="131">
        <f t="shared" si="2"/>
        <v>2</v>
      </c>
      <c r="AM11" s="132">
        <f t="shared" si="3"/>
        <v>0</v>
      </c>
      <c r="AO11" s="38" t="str">
        <f t="shared" si="4"/>
        <v> </v>
      </c>
    </row>
    <row r="12" spans="2:41" ht="15.75">
      <c r="B12" s="13" t="s">
        <v>11</v>
      </c>
      <c r="C12" s="134">
        <f t="shared" si="0"/>
        <v>52</v>
      </c>
      <c r="D12" s="129">
        <v>1</v>
      </c>
      <c r="E12" s="129"/>
      <c r="F12" s="129"/>
      <c r="G12" s="129"/>
      <c r="H12" s="129">
        <v>8</v>
      </c>
      <c r="I12" s="130">
        <v>1</v>
      </c>
      <c r="J12" s="129"/>
      <c r="K12" s="129">
        <v>5</v>
      </c>
      <c r="L12" s="129"/>
      <c r="M12" s="129">
        <v>4</v>
      </c>
      <c r="N12" s="129"/>
      <c r="O12" s="129"/>
      <c r="P12" s="129"/>
      <c r="Q12" s="129">
        <v>4</v>
      </c>
      <c r="R12" s="129"/>
      <c r="S12" s="129"/>
      <c r="T12" s="129"/>
      <c r="U12" s="129">
        <v>2</v>
      </c>
      <c r="V12" s="129"/>
      <c r="W12" s="129"/>
      <c r="X12" s="129">
        <v>5</v>
      </c>
      <c r="Y12" s="129"/>
      <c r="Z12" s="129">
        <v>3</v>
      </c>
      <c r="AA12" s="129"/>
      <c r="AB12" s="129"/>
      <c r="AC12" s="129">
        <v>4</v>
      </c>
      <c r="AD12" s="129"/>
      <c r="AE12" s="129"/>
      <c r="AF12" s="129">
        <v>6</v>
      </c>
      <c r="AG12" s="129">
        <v>8</v>
      </c>
      <c r="AH12" s="130"/>
      <c r="AI12" s="129"/>
      <c r="AJ12" s="238">
        <v>1</v>
      </c>
      <c r="AK12" s="131">
        <f t="shared" si="1"/>
        <v>13</v>
      </c>
      <c r="AL12" s="131">
        <f t="shared" si="2"/>
        <v>1</v>
      </c>
      <c r="AM12" s="132">
        <f t="shared" si="3"/>
        <v>0</v>
      </c>
      <c r="AO12" s="38" t="str">
        <f t="shared" si="4"/>
        <v> </v>
      </c>
    </row>
    <row r="13" spans="2:41" ht="15.75">
      <c r="B13" s="13" t="s">
        <v>45</v>
      </c>
      <c r="C13" s="134">
        <f t="shared" si="0"/>
        <v>50</v>
      </c>
      <c r="D13" s="129"/>
      <c r="E13" s="129"/>
      <c r="F13" s="129"/>
      <c r="G13" s="129"/>
      <c r="H13" s="129">
        <v>8</v>
      </c>
      <c r="I13" s="130">
        <v>5</v>
      </c>
      <c r="J13" s="129">
        <v>2</v>
      </c>
      <c r="K13" s="129"/>
      <c r="L13" s="129">
        <v>6</v>
      </c>
      <c r="M13" s="129"/>
      <c r="N13" s="129"/>
      <c r="O13" s="129">
        <v>10</v>
      </c>
      <c r="P13" s="129"/>
      <c r="Q13" s="129"/>
      <c r="R13" s="129"/>
      <c r="S13" s="129"/>
      <c r="T13" s="129"/>
      <c r="U13" s="129">
        <v>4</v>
      </c>
      <c r="V13" s="129">
        <v>1</v>
      </c>
      <c r="W13" s="129">
        <v>8</v>
      </c>
      <c r="X13" s="129"/>
      <c r="Y13" s="129"/>
      <c r="Z13" s="129"/>
      <c r="AA13" s="129">
        <v>2</v>
      </c>
      <c r="AB13" s="129"/>
      <c r="AC13" s="129"/>
      <c r="AD13" s="129"/>
      <c r="AE13" s="129"/>
      <c r="AF13" s="129">
        <v>2</v>
      </c>
      <c r="AG13" s="129">
        <v>2</v>
      </c>
      <c r="AH13" s="130"/>
      <c r="AI13" s="129"/>
      <c r="AJ13" s="129"/>
      <c r="AK13" s="131">
        <f t="shared" si="1"/>
        <v>11</v>
      </c>
      <c r="AL13" s="131">
        <f t="shared" si="2"/>
        <v>1</v>
      </c>
      <c r="AM13" s="132">
        <f t="shared" si="3"/>
        <v>1</v>
      </c>
      <c r="AN13" s="25"/>
      <c r="AO13" s="38" t="str">
        <f t="shared" si="4"/>
        <v> </v>
      </c>
    </row>
    <row r="14" spans="2:41" s="25" customFormat="1" ht="15.75">
      <c r="B14" s="13" t="s">
        <v>37</v>
      </c>
      <c r="C14" s="134">
        <f t="shared" si="0"/>
        <v>46</v>
      </c>
      <c r="D14" s="129">
        <v>2</v>
      </c>
      <c r="E14" s="129"/>
      <c r="F14" s="129">
        <v>6</v>
      </c>
      <c r="G14" s="129">
        <v>4</v>
      </c>
      <c r="H14" s="129"/>
      <c r="I14" s="130">
        <v>4</v>
      </c>
      <c r="J14" s="129">
        <v>6</v>
      </c>
      <c r="K14" s="129">
        <v>3</v>
      </c>
      <c r="L14" s="129"/>
      <c r="M14" s="129"/>
      <c r="N14" s="129"/>
      <c r="O14" s="129">
        <v>3</v>
      </c>
      <c r="P14" s="129">
        <v>8</v>
      </c>
      <c r="Q14" s="129">
        <v>6</v>
      </c>
      <c r="R14" s="129"/>
      <c r="S14" s="129">
        <v>4</v>
      </c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30"/>
      <c r="AI14" s="129"/>
      <c r="AJ14" s="129"/>
      <c r="AK14" s="131">
        <f t="shared" si="1"/>
        <v>10</v>
      </c>
      <c r="AL14" s="131">
        <f t="shared" si="2"/>
        <v>2</v>
      </c>
      <c r="AM14" s="132">
        <f t="shared" si="3"/>
        <v>0</v>
      </c>
      <c r="AN14" s="15"/>
      <c r="AO14" s="38" t="str">
        <f t="shared" si="4"/>
        <v> </v>
      </c>
    </row>
    <row r="15" spans="2:41" ht="15.75">
      <c r="B15" s="13" t="s">
        <v>23</v>
      </c>
      <c r="C15" s="134">
        <f t="shared" si="0"/>
        <v>39</v>
      </c>
      <c r="D15" s="129"/>
      <c r="E15" s="129">
        <v>10</v>
      </c>
      <c r="F15" s="129"/>
      <c r="G15" s="129"/>
      <c r="H15" s="129"/>
      <c r="I15" s="130"/>
      <c r="J15" s="129"/>
      <c r="K15" s="129"/>
      <c r="L15" s="129"/>
      <c r="M15" s="129">
        <v>1</v>
      </c>
      <c r="N15" s="129"/>
      <c r="O15" s="129"/>
      <c r="P15" s="129">
        <v>1</v>
      </c>
      <c r="Q15" s="129"/>
      <c r="R15" s="129"/>
      <c r="S15" s="129"/>
      <c r="T15" s="129">
        <v>8</v>
      </c>
      <c r="U15" s="129"/>
      <c r="V15" s="129"/>
      <c r="W15" s="129">
        <v>5</v>
      </c>
      <c r="X15" s="129"/>
      <c r="Y15" s="129"/>
      <c r="Z15" s="129"/>
      <c r="AA15" s="129"/>
      <c r="AB15" s="129"/>
      <c r="AC15" s="129"/>
      <c r="AD15" s="129">
        <v>8</v>
      </c>
      <c r="AE15" s="129">
        <v>6</v>
      </c>
      <c r="AF15" s="129"/>
      <c r="AG15" s="129"/>
      <c r="AH15" s="130"/>
      <c r="AI15" s="129"/>
      <c r="AJ15" s="129"/>
      <c r="AK15" s="131">
        <f t="shared" si="1"/>
        <v>7</v>
      </c>
      <c r="AL15" s="131">
        <f t="shared" si="2"/>
        <v>1</v>
      </c>
      <c r="AM15" s="132">
        <f t="shared" si="3"/>
        <v>1</v>
      </c>
      <c r="AO15" s="38" t="str">
        <f t="shared" si="4"/>
        <v> </v>
      </c>
    </row>
    <row r="16" spans="1:41" s="25" customFormat="1" ht="15.75">
      <c r="A16" s="15"/>
      <c r="B16" s="13" t="s">
        <v>200</v>
      </c>
      <c r="C16" s="134">
        <f t="shared" si="0"/>
        <v>39</v>
      </c>
      <c r="D16" s="129">
        <v>3</v>
      </c>
      <c r="E16" s="129">
        <v>3</v>
      </c>
      <c r="F16" s="238">
        <v>8</v>
      </c>
      <c r="G16" s="129"/>
      <c r="H16" s="129"/>
      <c r="I16" s="130"/>
      <c r="J16" s="129"/>
      <c r="K16" s="238"/>
      <c r="L16" s="129"/>
      <c r="M16" s="129"/>
      <c r="N16" s="129">
        <v>8</v>
      </c>
      <c r="O16" s="129">
        <v>5</v>
      </c>
      <c r="P16" s="129"/>
      <c r="Q16" s="238"/>
      <c r="R16" s="238"/>
      <c r="S16" s="238"/>
      <c r="T16" s="129">
        <v>1</v>
      </c>
      <c r="U16" s="129"/>
      <c r="V16" s="129"/>
      <c r="W16" s="129"/>
      <c r="X16" s="129"/>
      <c r="Y16" s="129"/>
      <c r="Z16" s="129"/>
      <c r="AA16" s="129"/>
      <c r="AB16" s="129"/>
      <c r="AC16" s="238"/>
      <c r="AD16" s="129"/>
      <c r="AE16" s="129"/>
      <c r="AF16" s="129"/>
      <c r="AG16" s="129">
        <v>10</v>
      </c>
      <c r="AH16" s="241">
        <v>1</v>
      </c>
      <c r="AI16" s="238"/>
      <c r="AJ16" s="129"/>
      <c r="AK16" s="131">
        <f t="shared" si="1"/>
        <v>8</v>
      </c>
      <c r="AL16" s="131">
        <f t="shared" si="2"/>
        <v>1</v>
      </c>
      <c r="AM16" s="132">
        <f t="shared" si="3"/>
        <v>1</v>
      </c>
      <c r="AN16" s="15"/>
      <c r="AO16" s="38" t="str">
        <f t="shared" si="4"/>
        <v> </v>
      </c>
    </row>
    <row r="17" spans="2:41" ht="15.75">
      <c r="B17" s="13" t="s">
        <v>19</v>
      </c>
      <c r="C17" s="134">
        <f t="shared" si="0"/>
        <v>37</v>
      </c>
      <c r="D17" s="129"/>
      <c r="E17" s="129"/>
      <c r="F17" s="129"/>
      <c r="G17" s="129"/>
      <c r="H17" s="129"/>
      <c r="I17" s="130"/>
      <c r="J17" s="129"/>
      <c r="K17" s="129">
        <v>1</v>
      </c>
      <c r="L17" s="129">
        <v>2</v>
      </c>
      <c r="M17" s="129"/>
      <c r="N17" s="129"/>
      <c r="O17" s="129">
        <v>2</v>
      </c>
      <c r="P17" s="129"/>
      <c r="Q17" s="129">
        <v>1</v>
      </c>
      <c r="R17" s="129">
        <v>10</v>
      </c>
      <c r="S17" s="129">
        <v>2</v>
      </c>
      <c r="T17" s="129">
        <v>4</v>
      </c>
      <c r="U17" s="129"/>
      <c r="V17" s="129"/>
      <c r="W17" s="129">
        <v>3</v>
      </c>
      <c r="X17" s="238">
        <v>1</v>
      </c>
      <c r="Y17" s="238"/>
      <c r="Z17" s="129">
        <v>2</v>
      </c>
      <c r="AA17" s="129"/>
      <c r="AB17" s="129"/>
      <c r="AC17" s="129"/>
      <c r="AD17" s="129"/>
      <c r="AE17" s="238"/>
      <c r="AF17" s="129"/>
      <c r="AG17" s="129"/>
      <c r="AH17" s="130">
        <v>6</v>
      </c>
      <c r="AI17" s="129">
        <v>1</v>
      </c>
      <c r="AJ17" s="129">
        <v>2</v>
      </c>
      <c r="AK17" s="131">
        <f t="shared" si="1"/>
        <v>13</v>
      </c>
      <c r="AL17" s="131">
        <f t="shared" si="2"/>
        <v>1</v>
      </c>
      <c r="AM17" s="132">
        <f t="shared" si="3"/>
        <v>1</v>
      </c>
      <c r="AO17" s="38" t="str">
        <f t="shared" si="4"/>
        <v> </v>
      </c>
    </row>
    <row r="18" spans="2:41" ht="15.75">
      <c r="B18" s="13" t="s">
        <v>41</v>
      </c>
      <c r="C18" s="134">
        <f t="shared" si="0"/>
        <v>36</v>
      </c>
      <c r="D18" s="129"/>
      <c r="E18" s="129"/>
      <c r="F18" s="129"/>
      <c r="G18" s="129"/>
      <c r="H18" s="129">
        <v>4</v>
      </c>
      <c r="I18" s="130"/>
      <c r="J18" s="129">
        <v>1</v>
      </c>
      <c r="K18" s="129"/>
      <c r="L18" s="129"/>
      <c r="M18" s="129"/>
      <c r="N18" s="129"/>
      <c r="O18" s="129"/>
      <c r="P18" s="129">
        <v>3</v>
      </c>
      <c r="Q18" s="129"/>
      <c r="R18" s="129"/>
      <c r="S18" s="129"/>
      <c r="T18" s="129"/>
      <c r="U18" s="129"/>
      <c r="V18" s="238"/>
      <c r="W18" s="129"/>
      <c r="X18" s="129"/>
      <c r="Y18" s="129">
        <v>10</v>
      </c>
      <c r="Z18" s="129"/>
      <c r="AA18" s="129"/>
      <c r="AB18" s="129">
        <v>10</v>
      </c>
      <c r="AC18" s="129"/>
      <c r="AD18" s="129"/>
      <c r="AE18" s="238"/>
      <c r="AF18" s="129"/>
      <c r="AG18" s="129"/>
      <c r="AH18" s="130"/>
      <c r="AI18" s="129">
        <v>8</v>
      </c>
      <c r="AJ18" s="129"/>
      <c r="AK18" s="131">
        <f t="shared" si="1"/>
        <v>6</v>
      </c>
      <c r="AL18" s="131">
        <f t="shared" si="2"/>
        <v>1</v>
      </c>
      <c r="AM18" s="132">
        <f t="shared" si="3"/>
        <v>2</v>
      </c>
      <c r="AO18" s="38" t="str">
        <f t="shared" si="4"/>
        <v> </v>
      </c>
    </row>
    <row r="19" spans="2:41" ht="15.75">
      <c r="B19" s="13" t="s">
        <v>27</v>
      </c>
      <c r="C19" s="134">
        <f t="shared" si="0"/>
        <v>31</v>
      </c>
      <c r="D19" s="129"/>
      <c r="E19" s="129"/>
      <c r="F19" s="129"/>
      <c r="G19" s="129"/>
      <c r="H19" s="129">
        <v>2</v>
      </c>
      <c r="I19" s="130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>
        <v>5</v>
      </c>
      <c r="U19" s="129">
        <v>1</v>
      </c>
      <c r="V19" s="129"/>
      <c r="W19" s="129"/>
      <c r="X19" s="129"/>
      <c r="Y19" s="129"/>
      <c r="Z19" s="129">
        <v>4</v>
      </c>
      <c r="AA19" s="129">
        <v>8</v>
      </c>
      <c r="AB19" s="129">
        <v>1</v>
      </c>
      <c r="AC19" s="129"/>
      <c r="AD19" s="129"/>
      <c r="AE19" s="129"/>
      <c r="AF19" s="129"/>
      <c r="AG19" s="129"/>
      <c r="AH19" s="130">
        <v>4</v>
      </c>
      <c r="AI19" s="129">
        <v>6</v>
      </c>
      <c r="AJ19" s="129"/>
      <c r="AK19" s="131">
        <f t="shared" si="1"/>
        <v>8</v>
      </c>
      <c r="AL19" s="131">
        <f t="shared" si="2"/>
        <v>1</v>
      </c>
      <c r="AM19" s="132">
        <f t="shared" si="3"/>
        <v>0</v>
      </c>
      <c r="AO19" s="38" t="str">
        <f t="shared" si="4"/>
        <v> </v>
      </c>
    </row>
    <row r="20" spans="2:41" ht="15.75">
      <c r="B20" s="13" t="s">
        <v>47</v>
      </c>
      <c r="C20" s="134">
        <f t="shared" si="0"/>
        <v>28</v>
      </c>
      <c r="D20" s="129"/>
      <c r="E20" s="129"/>
      <c r="F20" s="129">
        <v>5</v>
      </c>
      <c r="G20" s="129">
        <v>1</v>
      </c>
      <c r="H20" s="129"/>
      <c r="I20" s="130"/>
      <c r="J20" s="129"/>
      <c r="K20" s="129"/>
      <c r="L20" s="129"/>
      <c r="M20" s="129"/>
      <c r="N20" s="129"/>
      <c r="O20" s="129"/>
      <c r="P20" s="129"/>
      <c r="Q20" s="129"/>
      <c r="R20" s="129"/>
      <c r="S20" s="129">
        <v>1</v>
      </c>
      <c r="T20" s="129"/>
      <c r="U20" s="129"/>
      <c r="V20" s="129"/>
      <c r="W20" s="129">
        <v>1</v>
      </c>
      <c r="X20" s="129"/>
      <c r="Y20" s="129"/>
      <c r="Z20" s="129">
        <v>8</v>
      </c>
      <c r="AA20" s="129"/>
      <c r="AB20" s="129"/>
      <c r="AC20" s="129"/>
      <c r="AD20" s="129">
        <v>6</v>
      </c>
      <c r="AE20" s="129"/>
      <c r="AF20" s="129"/>
      <c r="AG20" s="129"/>
      <c r="AH20" s="130"/>
      <c r="AI20" s="129"/>
      <c r="AJ20" s="129">
        <v>6</v>
      </c>
      <c r="AK20" s="131">
        <f t="shared" si="1"/>
        <v>7</v>
      </c>
      <c r="AL20" s="131">
        <f t="shared" si="2"/>
        <v>1</v>
      </c>
      <c r="AM20" s="132">
        <f t="shared" si="3"/>
        <v>0</v>
      </c>
      <c r="AO20" s="38" t="str">
        <f t="shared" si="4"/>
        <v> </v>
      </c>
    </row>
    <row r="21" spans="2:41" ht="15.75">
      <c r="B21" s="13" t="s">
        <v>53</v>
      </c>
      <c r="C21" s="134">
        <f t="shared" si="0"/>
        <v>27</v>
      </c>
      <c r="D21" s="129"/>
      <c r="E21" s="129"/>
      <c r="F21" s="129"/>
      <c r="G21" s="129">
        <v>10</v>
      </c>
      <c r="H21" s="129"/>
      <c r="I21" s="130"/>
      <c r="J21" s="129"/>
      <c r="K21" s="129"/>
      <c r="L21" s="129"/>
      <c r="M21" s="129"/>
      <c r="N21" s="129"/>
      <c r="O21" s="129">
        <v>8</v>
      </c>
      <c r="P21" s="129"/>
      <c r="Q21" s="129"/>
      <c r="R21" s="129"/>
      <c r="S21" s="129">
        <v>3</v>
      </c>
      <c r="T21" s="129"/>
      <c r="U21" s="129"/>
      <c r="V21" s="129"/>
      <c r="W21" s="129"/>
      <c r="X21" s="129"/>
      <c r="Y21" s="129"/>
      <c r="Z21" s="129"/>
      <c r="AA21" s="129"/>
      <c r="AB21" s="129"/>
      <c r="AC21" s="129">
        <v>3</v>
      </c>
      <c r="AD21" s="129"/>
      <c r="AE21" s="129"/>
      <c r="AF21" s="129"/>
      <c r="AG21" s="129"/>
      <c r="AH21" s="130"/>
      <c r="AI21" s="129"/>
      <c r="AJ21" s="129">
        <v>3</v>
      </c>
      <c r="AK21" s="131">
        <f t="shared" si="1"/>
        <v>5</v>
      </c>
      <c r="AL21" s="131">
        <f t="shared" si="2"/>
        <v>3</v>
      </c>
      <c r="AM21" s="132">
        <f t="shared" si="3"/>
        <v>1</v>
      </c>
      <c r="AO21" s="38" t="str">
        <f t="shared" si="4"/>
        <v> </v>
      </c>
    </row>
    <row r="22" spans="2:41" ht="15.75">
      <c r="B22" s="13" t="s">
        <v>33</v>
      </c>
      <c r="C22" s="134">
        <f t="shared" si="0"/>
        <v>27</v>
      </c>
      <c r="D22" s="129"/>
      <c r="E22" s="238"/>
      <c r="F22" s="238">
        <v>1</v>
      </c>
      <c r="G22" s="129"/>
      <c r="H22" s="129"/>
      <c r="I22" s="130"/>
      <c r="J22" s="129"/>
      <c r="K22" s="129"/>
      <c r="L22" s="129">
        <v>8</v>
      </c>
      <c r="M22" s="129"/>
      <c r="N22" s="129"/>
      <c r="O22" s="129"/>
      <c r="P22" s="129"/>
      <c r="Q22" s="129"/>
      <c r="R22" s="238"/>
      <c r="S22" s="129"/>
      <c r="T22" s="129"/>
      <c r="U22" s="129"/>
      <c r="V22" s="129"/>
      <c r="W22" s="129"/>
      <c r="X22" s="129"/>
      <c r="Y22" s="129">
        <v>10</v>
      </c>
      <c r="Z22" s="129"/>
      <c r="AA22" s="129">
        <v>3</v>
      </c>
      <c r="AB22" s="129"/>
      <c r="AC22" s="129"/>
      <c r="AD22" s="129"/>
      <c r="AE22" s="129">
        <v>5</v>
      </c>
      <c r="AF22" s="129"/>
      <c r="AG22" s="129"/>
      <c r="AH22" s="130"/>
      <c r="AI22" s="129"/>
      <c r="AJ22" s="129"/>
      <c r="AK22" s="131">
        <f t="shared" si="1"/>
        <v>5</v>
      </c>
      <c r="AL22" s="131">
        <f t="shared" si="2"/>
        <v>1</v>
      </c>
      <c r="AM22" s="132">
        <f t="shared" si="3"/>
        <v>1</v>
      </c>
      <c r="AO22" s="38" t="str">
        <f t="shared" si="4"/>
        <v> </v>
      </c>
    </row>
    <row r="23" spans="2:41" ht="15.75">
      <c r="B23" s="13" t="s">
        <v>9</v>
      </c>
      <c r="C23" s="134">
        <f t="shared" si="0"/>
        <v>25</v>
      </c>
      <c r="D23" s="129"/>
      <c r="E23" s="129">
        <v>5</v>
      </c>
      <c r="F23" s="129"/>
      <c r="G23" s="129"/>
      <c r="H23" s="129"/>
      <c r="I23" s="130"/>
      <c r="J23" s="129"/>
      <c r="K23" s="129"/>
      <c r="L23" s="129"/>
      <c r="M23" s="129"/>
      <c r="N23" s="129"/>
      <c r="O23" s="129"/>
      <c r="P23" s="129">
        <v>4</v>
      </c>
      <c r="Q23" s="129"/>
      <c r="R23" s="129">
        <v>4</v>
      </c>
      <c r="S23" s="129"/>
      <c r="T23" s="129"/>
      <c r="U23" s="129"/>
      <c r="V23" s="129">
        <v>4</v>
      </c>
      <c r="W23" s="129"/>
      <c r="X23" s="129"/>
      <c r="Y23" s="129"/>
      <c r="Z23" s="129"/>
      <c r="AA23" s="129"/>
      <c r="AB23" s="129"/>
      <c r="AC23" s="129">
        <v>5</v>
      </c>
      <c r="AD23" s="129"/>
      <c r="AE23" s="129"/>
      <c r="AF23" s="129"/>
      <c r="AG23" s="129">
        <v>3</v>
      </c>
      <c r="AH23" s="130"/>
      <c r="AI23" s="129"/>
      <c r="AJ23" s="129"/>
      <c r="AK23" s="131">
        <f t="shared" si="1"/>
        <v>6</v>
      </c>
      <c r="AL23" s="131">
        <f t="shared" si="2"/>
        <v>3</v>
      </c>
      <c r="AM23" s="132">
        <f t="shared" si="3"/>
        <v>0</v>
      </c>
      <c r="AO23" s="38" t="str">
        <f t="shared" si="4"/>
        <v> </v>
      </c>
    </row>
    <row r="24" spans="2:41" ht="15.75">
      <c r="B24" s="13" t="s">
        <v>51</v>
      </c>
      <c r="C24" s="134">
        <f t="shared" si="0"/>
        <v>18</v>
      </c>
      <c r="D24" s="129"/>
      <c r="E24" s="129"/>
      <c r="F24" s="129"/>
      <c r="G24" s="129"/>
      <c r="H24" s="129"/>
      <c r="I24" s="130"/>
      <c r="J24" s="129"/>
      <c r="K24" s="129"/>
      <c r="L24" s="129"/>
      <c r="M24" s="129">
        <v>2</v>
      </c>
      <c r="N24" s="129"/>
      <c r="O24" s="129"/>
      <c r="P24" s="129">
        <v>5</v>
      </c>
      <c r="Q24" s="129"/>
      <c r="R24" s="129"/>
      <c r="S24" s="129"/>
      <c r="T24" s="129"/>
      <c r="U24" s="129"/>
      <c r="V24" s="129">
        <v>5</v>
      </c>
      <c r="W24" s="129"/>
      <c r="X24" s="129"/>
      <c r="Y24" s="129"/>
      <c r="Z24" s="129"/>
      <c r="AA24" s="129"/>
      <c r="AB24" s="129"/>
      <c r="AC24" s="129">
        <v>2</v>
      </c>
      <c r="AD24" s="129"/>
      <c r="AE24" s="129"/>
      <c r="AF24" s="129"/>
      <c r="AG24" s="129"/>
      <c r="AH24" s="130"/>
      <c r="AI24" s="129"/>
      <c r="AJ24" s="129">
        <v>4</v>
      </c>
      <c r="AK24" s="131">
        <f t="shared" si="1"/>
        <v>5</v>
      </c>
      <c r="AL24" s="131">
        <f t="shared" si="2"/>
        <v>2</v>
      </c>
      <c r="AM24" s="132">
        <f t="shared" si="3"/>
        <v>0</v>
      </c>
      <c r="AN24" s="25"/>
      <c r="AO24" s="38" t="str">
        <f t="shared" si="4"/>
        <v> </v>
      </c>
    </row>
    <row r="25" spans="2:41" ht="15.75">
      <c r="B25" s="13" t="s">
        <v>17</v>
      </c>
      <c r="C25" s="134">
        <f t="shared" si="0"/>
        <v>16</v>
      </c>
      <c r="D25" s="129"/>
      <c r="E25" s="129"/>
      <c r="F25" s="129"/>
      <c r="G25" s="129"/>
      <c r="H25" s="129"/>
      <c r="I25" s="130"/>
      <c r="J25" s="129"/>
      <c r="K25" s="129"/>
      <c r="L25" s="129"/>
      <c r="M25" s="129"/>
      <c r="N25" s="129">
        <v>6</v>
      </c>
      <c r="O25" s="129"/>
      <c r="P25" s="129"/>
      <c r="Q25" s="129">
        <v>3</v>
      </c>
      <c r="R25" s="129">
        <v>2</v>
      </c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>
        <v>5</v>
      </c>
      <c r="AH25" s="130"/>
      <c r="AI25" s="129"/>
      <c r="AJ25" s="129"/>
      <c r="AK25" s="131">
        <f t="shared" si="1"/>
        <v>4</v>
      </c>
      <c r="AL25" s="131">
        <f t="shared" si="2"/>
        <v>2</v>
      </c>
      <c r="AM25" s="132">
        <f t="shared" si="3"/>
        <v>0</v>
      </c>
      <c r="AO25" s="38" t="str">
        <f t="shared" si="4"/>
        <v> </v>
      </c>
    </row>
    <row r="26" spans="1:41" ht="15.75">
      <c r="A26" s="24"/>
      <c r="B26" s="13" t="s">
        <v>25</v>
      </c>
      <c r="C26" s="134">
        <f t="shared" si="0"/>
        <v>15</v>
      </c>
      <c r="D26" s="129"/>
      <c r="E26" s="129"/>
      <c r="F26" s="129"/>
      <c r="G26" s="129"/>
      <c r="H26" s="129"/>
      <c r="I26" s="130"/>
      <c r="J26" s="129"/>
      <c r="K26" s="129"/>
      <c r="L26" s="129"/>
      <c r="M26" s="129">
        <v>8</v>
      </c>
      <c r="N26" s="129"/>
      <c r="O26" s="129"/>
      <c r="P26" s="129"/>
      <c r="Q26" s="129"/>
      <c r="R26" s="129">
        <v>3</v>
      </c>
      <c r="S26" s="129"/>
      <c r="T26" s="129"/>
      <c r="U26" s="129"/>
      <c r="V26" s="129"/>
      <c r="W26" s="129"/>
      <c r="X26" s="129"/>
      <c r="Y26" s="129"/>
      <c r="Z26" s="129"/>
      <c r="AA26" s="129">
        <v>4</v>
      </c>
      <c r="AB26" s="129"/>
      <c r="AC26" s="129"/>
      <c r="AD26" s="129"/>
      <c r="AE26" s="129"/>
      <c r="AF26" s="129"/>
      <c r="AG26" s="129"/>
      <c r="AH26" s="130"/>
      <c r="AI26" s="129"/>
      <c r="AJ26" s="129"/>
      <c r="AK26" s="131">
        <f t="shared" si="1"/>
        <v>3</v>
      </c>
      <c r="AL26" s="131">
        <f t="shared" si="2"/>
        <v>3</v>
      </c>
      <c r="AM26" s="132">
        <f t="shared" si="3"/>
        <v>0</v>
      </c>
      <c r="AN26" s="24"/>
      <c r="AO26" s="38" t="str">
        <f t="shared" si="4"/>
        <v> </v>
      </c>
    </row>
    <row r="27" spans="2:41" ht="15.75">
      <c r="B27" s="13" t="s">
        <v>21</v>
      </c>
      <c r="C27" s="134">
        <f t="shared" si="0"/>
        <v>14</v>
      </c>
      <c r="D27" s="129"/>
      <c r="E27" s="129"/>
      <c r="F27" s="129"/>
      <c r="G27" s="129"/>
      <c r="H27" s="129">
        <v>2</v>
      </c>
      <c r="I27" s="130"/>
      <c r="J27" s="129"/>
      <c r="K27" s="129"/>
      <c r="L27" s="129">
        <v>1</v>
      </c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>
        <v>1</v>
      </c>
      <c r="AD27" s="129"/>
      <c r="AE27" s="129"/>
      <c r="AF27" s="129">
        <v>10</v>
      </c>
      <c r="AG27" s="129"/>
      <c r="AH27" s="130"/>
      <c r="AI27" s="129"/>
      <c r="AJ27" s="129"/>
      <c r="AK27" s="131">
        <f t="shared" si="1"/>
        <v>4</v>
      </c>
      <c r="AL27" s="131">
        <f t="shared" si="2"/>
        <v>1</v>
      </c>
      <c r="AM27" s="132">
        <f t="shared" si="3"/>
        <v>1</v>
      </c>
      <c r="AO27" s="38" t="str">
        <f t="shared" si="4"/>
        <v> </v>
      </c>
    </row>
    <row r="28" spans="2:39" s="35" customFormat="1" ht="16.5" customHeight="1">
      <c r="B28" s="193"/>
      <c r="C28" s="194"/>
      <c r="D28" s="195">
        <f aca="true" t="shared" si="5" ref="D28:AJ28">SUM(D3:D27)</f>
        <v>39</v>
      </c>
      <c r="E28" s="195">
        <f t="shared" si="5"/>
        <v>39</v>
      </c>
      <c r="F28" s="195">
        <f t="shared" si="5"/>
        <v>39</v>
      </c>
      <c r="G28" s="195">
        <f t="shared" si="5"/>
        <v>39</v>
      </c>
      <c r="H28" s="195">
        <f t="shared" si="5"/>
        <v>38</v>
      </c>
      <c r="I28" s="195">
        <f t="shared" si="5"/>
        <v>39</v>
      </c>
      <c r="J28" s="195">
        <f t="shared" si="5"/>
        <v>39</v>
      </c>
      <c r="K28" s="195">
        <f t="shared" si="5"/>
        <v>39</v>
      </c>
      <c r="L28" s="195">
        <f t="shared" si="5"/>
        <v>39</v>
      </c>
      <c r="M28" s="195">
        <f t="shared" si="5"/>
        <v>39</v>
      </c>
      <c r="N28" s="195">
        <f t="shared" si="5"/>
        <v>36</v>
      </c>
      <c r="O28" s="195">
        <f t="shared" si="5"/>
        <v>39</v>
      </c>
      <c r="P28" s="195">
        <f t="shared" si="5"/>
        <v>37</v>
      </c>
      <c r="Q28" s="195">
        <f t="shared" si="5"/>
        <v>37</v>
      </c>
      <c r="R28" s="195">
        <f t="shared" si="5"/>
        <v>39</v>
      </c>
      <c r="S28" s="195">
        <f t="shared" si="5"/>
        <v>39</v>
      </c>
      <c r="T28" s="195">
        <f t="shared" si="5"/>
        <v>39</v>
      </c>
      <c r="U28" s="195">
        <f t="shared" si="5"/>
        <v>39</v>
      </c>
      <c r="V28" s="195">
        <f t="shared" si="5"/>
        <v>36</v>
      </c>
      <c r="W28" s="195">
        <f t="shared" si="5"/>
        <v>39</v>
      </c>
      <c r="X28" s="195">
        <f t="shared" si="5"/>
        <v>37</v>
      </c>
      <c r="Y28" s="195">
        <f t="shared" si="5"/>
        <v>50</v>
      </c>
      <c r="Z28" s="195">
        <f t="shared" si="5"/>
        <v>39</v>
      </c>
      <c r="AA28" s="195">
        <f t="shared" si="5"/>
        <v>39</v>
      </c>
      <c r="AB28" s="195">
        <f t="shared" si="5"/>
        <v>39</v>
      </c>
      <c r="AC28" s="195">
        <f t="shared" si="5"/>
        <v>39</v>
      </c>
      <c r="AD28" s="195">
        <f t="shared" si="5"/>
        <v>33</v>
      </c>
      <c r="AE28" s="195">
        <f t="shared" si="5"/>
        <v>38</v>
      </c>
      <c r="AF28" s="195">
        <f t="shared" si="5"/>
        <v>38</v>
      </c>
      <c r="AG28" s="195">
        <f t="shared" si="5"/>
        <v>39</v>
      </c>
      <c r="AH28" s="195">
        <f t="shared" si="5"/>
        <v>39</v>
      </c>
      <c r="AI28" s="195">
        <f t="shared" si="5"/>
        <v>39</v>
      </c>
      <c r="AJ28" s="195">
        <f t="shared" si="5"/>
        <v>39</v>
      </c>
      <c r="AK28" s="194"/>
      <c r="AL28" s="194"/>
      <c r="AM28" s="196"/>
    </row>
    <row r="29" spans="2:39" ht="15.75">
      <c r="B29" s="248" t="s">
        <v>146</v>
      </c>
      <c r="C29" s="249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50"/>
      <c r="AL29" s="250"/>
      <c r="AM29" s="251">
        <f>SUM(AM3:AM28)</f>
        <v>34</v>
      </c>
    </row>
    <row r="30" ht="15.75">
      <c r="C30" s="15"/>
    </row>
    <row r="31" ht="15.75">
      <c r="C31" s="36"/>
    </row>
  </sheetData>
  <sheetProtection selectLockedCells="1" selectUnlockedCells="1"/>
  <autoFilter ref="A2:AO2">
    <sortState ref="A3:AO31">
      <sortCondition descending="1" sortBy="value" ref="C3:C31"/>
    </sortState>
  </autoFilter>
  <printOptions horizontalCentered="1" verticalCentered="1"/>
  <pageMargins left="0.43333333333333335" right="0.43333333333333335" top="0.5513888888888889" bottom="0.5513888888888889" header="0.5118055555555555" footer="0.5118055555555555"/>
  <pageSetup horizontalDpi="300" verticalDpi="300" orientation="landscape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8000"/>
    <pageSetUpPr fitToPage="1"/>
  </sheetPr>
  <dimension ref="A1:G41"/>
  <sheetViews>
    <sheetView zoomScalePageLayoutView="0" workbookViewId="0" topLeftCell="A13">
      <selection activeCell="A1" sqref="A1:N28"/>
    </sheetView>
  </sheetViews>
  <sheetFormatPr defaultColWidth="11.57421875" defaultRowHeight="12.75"/>
  <cols>
    <col min="1" max="1" width="8.421875" style="309" customWidth="1"/>
    <col min="2" max="3" width="11.421875" style="309" customWidth="1"/>
    <col min="4" max="4" width="33.421875" style="309" customWidth="1"/>
    <col min="5" max="6" width="12.140625" style="309" customWidth="1"/>
    <col min="7" max="7" width="31.140625" style="309" customWidth="1"/>
    <col min="8" max="16384" width="11.421875" style="309" customWidth="1"/>
  </cols>
  <sheetData>
    <row r="1" spans="1:7" ht="37.5" customHeight="1">
      <c r="A1" s="459" t="s">
        <v>172</v>
      </c>
      <c r="B1" s="459"/>
      <c r="C1" s="459"/>
      <c r="D1" s="459"/>
      <c r="E1" s="459"/>
      <c r="F1" s="459"/>
      <c r="G1" s="459"/>
    </row>
    <row r="2" spans="1:7" s="310" customFormat="1" ht="15.75" customHeight="1">
      <c r="A2" s="460" t="s">
        <v>199</v>
      </c>
      <c r="B2" s="460"/>
      <c r="C2" s="460"/>
      <c r="D2" s="460"/>
      <c r="E2" s="460"/>
      <c r="F2" s="460"/>
      <c r="G2" s="460"/>
    </row>
    <row r="3" spans="1:7" ht="22.5" customHeight="1">
      <c r="A3" s="461" t="s">
        <v>114</v>
      </c>
      <c r="B3" s="461"/>
      <c r="C3" s="461"/>
      <c r="D3" s="461"/>
      <c r="E3" s="461"/>
      <c r="F3" s="461"/>
      <c r="G3" s="461"/>
    </row>
    <row r="4" spans="1:7" s="312" customFormat="1" ht="22.5" customHeight="1">
      <c r="A4" s="311" t="s">
        <v>74</v>
      </c>
      <c r="B4" s="311" t="s">
        <v>115</v>
      </c>
      <c r="C4" s="311" t="s">
        <v>116</v>
      </c>
      <c r="D4" s="311" t="s">
        <v>117</v>
      </c>
      <c r="E4" s="311" t="s">
        <v>153</v>
      </c>
      <c r="F4" s="311" t="s">
        <v>133</v>
      </c>
      <c r="G4" s="311" t="s">
        <v>118</v>
      </c>
    </row>
    <row r="5" spans="1:7" ht="22.5" customHeight="1">
      <c r="A5" s="321">
        <v>42806</v>
      </c>
      <c r="B5" s="314">
        <v>0.4166666666666667</v>
      </c>
      <c r="C5" s="315" t="s">
        <v>99</v>
      </c>
      <c r="D5" s="316" t="s">
        <v>136</v>
      </c>
      <c r="E5" s="315" t="s">
        <v>119</v>
      </c>
      <c r="F5" s="315" t="s">
        <v>134</v>
      </c>
      <c r="G5" s="317" t="s">
        <v>120</v>
      </c>
    </row>
    <row r="6" spans="1:7" ht="22.5" customHeight="1">
      <c r="A6" s="321">
        <v>42813</v>
      </c>
      <c r="B6" s="314">
        <v>0.4166666666666667</v>
      </c>
      <c r="C6" s="315" t="s">
        <v>99</v>
      </c>
      <c r="D6" s="316" t="s">
        <v>192</v>
      </c>
      <c r="E6" s="315" t="s">
        <v>119</v>
      </c>
      <c r="F6" s="315" t="s">
        <v>134</v>
      </c>
      <c r="G6" s="317" t="s">
        <v>120</v>
      </c>
    </row>
    <row r="7" spans="1:7" ht="22.5" customHeight="1">
      <c r="A7" s="321">
        <v>42820</v>
      </c>
      <c r="B7" s="314">
        <v>0.458333333333333</v>
      </c>
      <c r="C7" s="315" t="s">
        <v>99</v>
      </c>
      <c r="D7" s="316" t="s">
        <v>197</v>
      </c>
      <c r="E7" s="315" t="s">
        <v>119</v>
      </c>
      <c r="F7" s="315" t="s">
        <v>134</v>
      </c>
      <c r="G7" s="368" t="s">
        <v>120</v>
      </c>
    </row>
    <row r="8" spans="1:7" ht="22.5" customHeight="1">
      <c r="A8" s="462" t="s">
        <v>121</v>
      </c>
      <c r="B8" s="462"/>
      <c r="C8" s="462"/>
      <c r="D8" s="462"/>
      <c r="E8" s="462"/>
      <c r="F8" s="462"/>
      <c r="G8" s="462"/>
    </row>
    <row r="9" spans="1:7" ht="22.5" customHeight="1">
      <c r="A9" s="321">
        <v>42824</v>
      </c>
      <c r="B9" s="314">
        <v>0.6666666666666666</v>
      </c>
      <c r="C9" s="318">
        <v>6000000</v>
      </c>
      <c r="D9" s="316" t="s">
        <v>113</v>
      </c>
      <c r="E9" s="315" t="s">
        <v>119</v>
      </c>
      <c r="F9" s="315" t="s">
        <v>201</v>
      </c>
      <c r="G9" s="370" t="s">
        <v>122</v>
      </c>
    </row>
    <row r="10" spans="1:7" ht="22.5" customHeight="1">
      <c r="A10" s="321">
        <v>42831</v>
      </c>
      <c r="B10" s="314">
        <v>0.6666666666666666</v>
      </c>
      <c r="C10" s="318">
        <v>8000000</v>
      </c>
      <c r="D10" s="319" t="s">
        <v>123</v>
      </c>
      <c r="E10" s="315" t="s">
        <v>119</v>
      </c>
      <c r="F10" s="315" t="s">
        <v>202</v>
      </c>
      <c r="G10" s="371" t="s">
        <v>156</v>
      </c>
    </row>
    <row r="11" spans="1:7" ht="22.5" customHeight="1">
      <c r="A11" s="321">
        <v>42838</v>
      </c>
      <c r="B11" s="314">
        <v>0.3333333333333333</v>
      </c>
      <c r="C11" s="318">
        <v>6000000</v>
      </c>
      <c r="D11" s="316" t="s">
        <v>174</v>
      </c>
      <c r="E11" s="315" t="s">
        <v>119</v>
      </c>
      <c r="F11" s="315" t="s">
        <v>201</v>
      </c>
      <c r="G11" s="320"/>
    </row>
    <row r="12" spans="1:7" ht="22.5" customHeight="1">
      <c r="A12" s="321">
        <v>42845</v>
      </c>
      <c r="B12" s="314">
        <v>0.666666666666667</v>
      </c>
      <c r="C12" s="318">
        <v>6000000</v>
      </c>
      <c r="D12" s="316" t="s">
        <v>175</v>
      </c>
      <c r="E12" s="315" t="s">
        <v>119</v>
      </c>
      <c r="F12" s="315" t="s">
        <v>201</v>
      </c>
      <c r="G12" s="373"/>
    </row>
    <row r="13" spans="1:7" ht="22.5" customHeight="1">
      <c r="A13" s="321">
        <v>42852</v>
      </c>
      <c r="B13" s="314">
        <v>0.666666666666667</v>
      </c>
      <c r="C13" s="318">
        <v>6000000</v>
      </c>
      <c r="D13" s="316" t="s">
        <v>176</v>
      </c>
      <c r="E13" s="315" t="s">
        <v>119</v>
      </c>
      <c r="F13" s="315" t="s">
        <v>202</v>
      </c>
      <c r="G13" s="376" t="s">
        <v>160</v>
      </c>
    </row>
    <row r="14" spans="1:7" ht="22.5" customHeight="1">
      <c r="A14" s="321">
        <v>42859</v>
      </c>
      <c r="B14" s="314">
        <v>0.666666666666667</v>
      </c>
      <c r="C14" s="318">
        <v>6000000</v>
      </c>
      <c r="D14" s="316" t="s">
        <v>177</v>
      </c>
      <c r="E14" s="315" t="s">
        <v>119</v>
      </c>
      <c r="F14" s="315" t="s">
        <v>203</v>
      </c>
      <c r="G14" s="320" t="s">
        <v>156</v>
      </c>
    </row>
    <row r="15" spans="1:7" ht="22.5" customHeight="1">
      <c r="A15" s="321">
        <v>42866</v>
      </c>
      <c r="B15" s="314">
        <v>0.666666666666667</v>
      </c>
      <c r="C15" s="318">
        <v>6000000</v>
      </c>
      <c r="D15" s="316" t="s">
        <v>178</v>
      </c>
      <c r="E15" s="315" t="s">
        <v>124</v>
      </c>
      <c r="F15" s="315" t="s">
        <v>201</v>
      </c>
      <c r="G15" s="370" t="s">
        <v>204</v>
      </c>
    </row>
    <row r="16" spans="1:7" ht="22.5" customHeight="1">
      <c r="A16" s="321">
        <v>42873</v>
      </c>
      <c r="B16" s="314">
        <v>0.666666666666667</v>
      </c>
      <c r="C16" s="318">
        <v>6000000</v>
      </c>
      <c r="D16" s="316" t="s">
        <v>179</v>
      </c>
      <c r="E16" s="315" t="s">
        <v>119</v>
      </c>
      <c r="F16" s="315" t="s">
        <v>202</v>
      </c>
      <c r="G16" s="371"/>
    </row>
    <row r="17" spans="1:7" ht="22.5" customHeight="1">
      <c r="A17" s="321">
        <v>42880</v>
      </c>
      <c r="B17" s="314">
        <v>0.3333333333333333</v>
      </c>
      <c r="C17" s="318">
        <v>6000000</v>
      </c>
      <c r="D17" s="316" t="s">
        <v>180</v>
      </c>
      <c r="E17" s="315" t="s">
        <v>119</v>
      </c>
      <c r="F17" s="315" t="s">
        <v>201</v>
      </c>
      <c r="G17" s="377" t="s">
        <v>159</v>
      </c>
    </row>
    <row r="18" spans="1:7" ht="22.5" customHeight="1">
      <c r="A18" s="321">
        <v>42887</v>
      </c>
      <c r="B18" s="314">
        <v>0.666666666666667</v>
      </c>
      <c r="C18" s="318">
        <v>6000000</v>
      </c>
      <c r="D18" s="316" t="s">
        <v>181</v>
      </c>
      <c r="E18" s="315" t="s">
        <v>119</v>
      </c>
      <c r="F18" s="315" t="s">
        <v>201</v>
      </c>
      <c r="G18" s="370" t="s">
        <v>156</v>
      </c>
    </row>
    <row r="19" spans="1:7" ht="22.5" customHeight="1">
      <c r="A19" s="321">
        <v>42894</v>
      </c>
      <c r="B19" s="314">
        <v>0.666666666666667</v>
      </c>
      <c r="C19" s="318">
        <v>6000000</v>
      </c>
      <c r="D19" s="316" t="s">
        <v>182</v>
      </c>
      <c r="E19" s="315" t="s">
        <v>119</v>
      </c>
      <c r="F19" s="403" t="s">
        <v>202</v>
      </c>
      <c r="G19" s="371"/>
    </row>
    <row r="20" spans="1:7" ht="22.5" customHeight="1">
      <c r="A20" s="321">
        <v>42896</v>
      </c>
      <c r="B20" s="314" t="s">
        <v>193</v>
      </c>
      <c r="C20" s="315" t="s">
        <v>125</v>
      </c>
      <c r="D20" s="316" t="s">
        <v>228</v>
      </c>
      <c r="E20" s="315" t="s">
        <v>126</v>
      </c>
      <c r="F20" s="404"/>
      <c r="G20" s="370" t="s">
        <v>155</v>
      </c>
    </row>
    <row r="21" spans="1:7" ht="22.5" customHeight="1">
      <c r="A21" s="321">
        <v>42901</v>
      </c>
      <c r="B21" s="314">
        <v>0.666666666666667</v>
      </c>
      <c r="C21" s="318">
        <v>8000000</v>
      </c>
      <c r="D21" s="319" t="s">
        <v>207</v>
      </c>
      <c r="E21" s="315" t="s">
        <v>124</v>
      </c>
      <c r="F21" s="315" t="s">
        <v>203</v>
      </c>
      <c r="G21" s="372"/>
    </row>
    <row r="22" spans="1:7" ht="22.5" customHeight="1">
      <c r="A22" s="321">
        <v>42908</v>
      </c>
      <c r="B22" s="314">
        <v>0.666666666666667</v>
      </c>
      <c r="C22" s="318">
        <v>6000000</v>
      </c>
      <c r="D22" s="316" t="s">
        <v>183</v>
      </c>
      <c r="E22" s="315" t="s">
        <v>119</v>
      </c>
      <c r="F22" s="315" t="s">
        <v>201</v>
      </c>
      <c r="G22" s="373"/>
    </row>
    <row r="23" spans="1:7" ht="22.5" customHeight="1">
      <c r="A23" s="321">
        <v>42915</v>
      </c>
      <c r="B23" s="314">
        <v>0.666666666666667</v>
      </c>
      <c r="C23" s="318">
        <v>6000000</v>
      </c>
      <c r="D23" s="316" t="s">
        <v>184</v>
      </c>
      <c r="E23" s="315" t="s">
        <v>119</v>
      </c>
      <c r="F23" s="315" t="s">
        <v>202</v>
      </c>
      <c r="G23" s="371"/>
    </row>
    <row r="24" spans="1:7" ht="22.5" customHeight="1">
      <c r="A24" s="321">
        <v>42922</v>
      </c>
      <c r="B24" s="314">
        <v>0.666666666666667</v>
      </c>
      <c r="C24" s="318">
        <v>6000000</v>
      </c>
      <c r="D24" s="316" t="s">
        <v>150</v>
      </c>
      <c r="E24" s="315" t="s">
        <v>119</v>
      </c>
      <c r="F24" s="315" t="s">
        <v>203</v>
      </c>
      <c r="G24" s="320" t="s">
        <v>156</v>
      </c>
    </row>
    <row r="25" spans="1:7" ht="22.5" customHeight="1">
      <c r="A25" s="321">
        <v>42929</v>
      </c>
      <c r="B25" s="314">
        <v>0.666666666666667</v>
      </c>
      <c r="C25" s="318">
        <v>6000000</v>
      </c>
      <c r="D25" s="316" t="s">
        <v>185</v>
      </c>
      <c r="E25" s="315" t="s">
        <v>119</v>
      </c>
      <c r="F25" s="315" t="s">
        <v>201</v>
      </c>
      <c r="G25" s="374"/>
    </row>
    <row r="26" spans="1:7" ht="22.5" customHeight="1">
      <c r="A26" s="321">
        <v>42936</v>
      </c>
      <c r="B26" s="314">
        <v>0.666666666666667</v>
      </c>
      <c r="C26" s="318">
        <v>8000000</v>
      </c>
      <c r="D26" s="319" t="s">
        <v>208</v>
      </c>
      <c r="E26" s="315" t="s">
        <v>124</v>
      </c>
      <c r="F26" s="315" t="s">
        <v>202</v>
      </c>
      <c r="G26" s="371"/>
    </row>
    <row r="27" spans="1:7" ht="22.5" customHeight="1">
      <c r="A27" s="321">
        <v>42943</v>
      </c>
      <c r="B27" s="314">
        <v>0.666666666666667</v>
      </c>
      <c r="C27" s="318">
        <v>6000000</v>
      </c>
      <c r="D27" s="316" t="s">
        <v>186</v>
      </c>
      <c r="E27" s="315" t="s">
        <v>119</v>
      </c>
      <c r="F27" s="315" t="s">
        <v>203</v>
      </c>
      <c r="G27" s="377" t="s">
        <v>154</v>
      </c>
    </row>
    <row r="28" spans="1:7" ht="22.5" customHeight="1">
      <c r="A28" s="321">
        <v>42950</v>
      </c>
      <c r="B28" s="314">
        <v>0.666666666666667</v>
      </c>
      <c r="C28" s="318">
        <v>6000000</v>
      </c>
      <c r="D28" s="316" t="s">
        <v>196</v>
      </c>
      <c r="E28" s="315" t="s">
        <v>119</v>
      </c>
      <c r="F28" s="315" t="s">
        <v>201</v>
      </c>
      <c r="G28" s="370" t="s">
        <v>156</v>
      </c>
    </row>
    <row r="29" spans="1:7" ht="22.5" customHeight="1">
      <c r="A29" s="321">
        <v>42957</v>
      </c>
      <c r="B29" s="314">
        <v>0.666666666666667</v>
      </c>
      <c r="C29" s="318">
        <v>6000000</v>
      </c>
      <c r="D29" s="319" t="s">
        <v>209</v>
      </c>
      <c r="E29" s="315" t="s">
        <v>124</v>
      </c>
      <c r="F29" s="315" t="s">
        <v>202</v>
      </c>
      <c r="G29" s="371"/>
    </row>
    <row r="30" spans="1:7" ht="22.5" customHeight="1">
      <c r="A30" s="321">
        <v>42964</v>
      </c>
      <c r="B30" s="314">
        <v>0.666666666666667</v>
      </c>
      <c r="C30" s="318">
        <v>6000000</v>
      </c>
      <c r="D30" s="316" t="s">
        <v>187</v>
      </c>
      <c r="E30" s="315" t="s">
        <v>119</v>
      </c>
      <c r="F30" s="315" t="s">
        <v>203</v>
      </c>
      <c r="G30" s="320" t="s">
        <v>205</v>
      </c>
    </row>
    <row r="31" spans="1:7" ht="22.5" customHeight="1">
      <c r="A31" s="321">
        <v>42971</v>
      </c>
      <c r="B31" s="314">
        <v>0.666666666666667</v>
      </c>
      <c r="C31" s="318">
        <v>6000000</v>
      </c>
      <c r="D31" s="316" t="s">
        <v>151</v>
      </c>
      <c r="E31" s="315" t="s">
        <v>119</v>
      </c>
      <c r="F31" s="315" t="s">
        <v>201</v>
      </c>
      <c r="G31" s="373"/>
    </row>
    <row r="32" spans="1:7" ht="22.5" customHeight="1">
      <c r="A32" s="321">
        <v>42978</v>
      </c>
      <c r="B32" s="314">
        <v>0.666666666666667</v>
      </c>
      <c r="C32" s="318">
        <v>6000000</v>
      </c>
      <c r="D32" s="316" t="s">
        <v>188</v>
      </c>
      <c r="E32" s="315" t="s">
        <v>119</v>
      </c>
      <c r="F32" s="315" t="s">
        <v>202</v>
      </c>
      <c r="G32" s="371"/>
    </row>
    <row r="33" spans="1:7" ht="22.5" customHeight="1">
      <c r="A33" s="321">
        <v>42980</v>
      </c>
      <c r="B33" s="314" t="s">
        <v>193</v>
      </c>
      <c r="C33" s="315" t="s">
        <v>125</v>
      </c>
      <c r="D33" s="316" t="s">
        <v>194</v>
      </c>
      <c r="E33" s="315" t="s">
        <v>126</v>
      </c>
      <c r="G33" s="369" t="s">
        <v>155</v>
      </c>
    </row>
    <row r="34" spans="1:7" ht="22.5" customHeight="1">
      <c r="A34" s="321">
        <v>42985</v>
      </c>
      <c r="B34" s="314">
        <v>0.666666666666667</v>
      </c>
      <c r="C34" s="318">
        <v>6000000</v>
      </c>
      <c r="D34" s="316" t="s">
        <v>195</v>
      </c>
      <c r="E34" s="315" t="s">
        <v>119</v>
      </c>
      <c r="F34" s="315" t="s">
        <v>203</v>
      </c>
      <c r="G34" s="320" t="s">
        <v>156</v>
      </c>
    </row>
    <row r="35" spans="1:7" ht="22.5" customHeight="1">
      <c r="A35" s="321">
        <v>42992</v>
      </c>
      <c r="B35" s="314">
        <v>0.666666666666667</v>
      </c>
      <c r="C35" s="318">
        <v>6000000</v>
      </c>
      <c r="D35" s="316" t="s">
        <v>189</v>
      </c>
      <c r="E35" s="315" t="s">
        <v>124</v>
      </c>
      <c r="F35" s="315" t="s">
        <v>201</v>
      </c>
      <c r="G35" s="370" t="s">
        <v>206</v>
      </c>
    </row>
    <row r="36" spans="1:7" ht="22.5" customHeight="1">
      <c r="A36" s="321">
        <v>42999</v>
      </c>
      <c r="B36" s="314">
        <v>0.666666666666667</v>
      </c>
      <c r="C36" s="318">
        <v>7000000</v>
      </c>
      <c r="D36" s="316" t="s">
        <v>190</v>
      </c>
      <c r="E36" s="315" t="s">
        <v>119</v>
      </c>
      <c r="F36" s="315" t="s">
        <v>202</v>
      </c>
      <c r="G36" s="375"/>
    </row>
    <row r="37" spans="1:7" ht="22.5" customHeight="1">
      <c r="A37" s="321">
        <v>43006</v>
      </c>
      <c r="B37" s="314">
        <v>0.666666666666667</v>
      </c>
      <c r="C37" s="318">
        <v>8000000</v>
      </c>
      <c r="D37" s="316" t="s">
        <v>191</v>
      </c>
      <c r="E37" s="315" t="s">
        <v>119</v>
      </c>
      <c r="F37" s="315" t="s">
        <v>203</v>
      </c>
      <c r="G37" s="320"/>
    </row>
    <row r="38" spans="1:7" ht="22.5" customHeight="1">
      <c r="A38" s="321">
        <v>43013</v>
      </c>
      <c r="B38" s="314">
        <v>0.666666666666667</v>
      </c>
      <c r="C38" s="318">
        <v>9000000</v>
      </c>
      <c r="D38" s="316" t="s">
        <v>142</v>
      </c>
      <c r="E38" s="315" t="s">
        <v>119</v>
      </c>
      <c r="F38" s="315" t="s">
        <v>201</v>
      </c>
      <c r="G38" s="370" t="s">
        <v>156</v>
      </c>
    </row>
    <row r="39" spans="1:7" ht="22.5" customHeight="1">
      <c r="A39" s="321">
        <v>43015</v>
      </c>
      <c r="B39" s="314">
        <v>0.3333333333333333</v>
      </c>
      <c r="C39" s="318">
        <v>10000000</v>
      </c>
      <c r="D39" s="316" t="s">
        <v>169</v>
      </c>
      <c r="E39" s="315" t="s">
        <v>119</v>
      </c>
      <c r="F39" s="315" t="s">
        <v>202</v>
      </c>
      <c r="G39" s="371" t="s">
        <v>267</v>
      </c>
    </row>
    <row r="40" spans="1:7" ht="22.5" customHeight="1">
      <c r="A40" s="456" t="s">
        <v>127</v>
      </c>
      <c r="B40" s="457"/>
      <c r="C40" s="457"/>
      <c r="D40" s="457"/>
      <c r="E40" s="457"/>
      <c r="F40" s="457"/>
      <c r="G40" s="458"/>
    </row>
    <row r="41" spans="1:7" ht="22.5" customHeight="1">
      <c r="A41" s="313" t="s">
        <v>152</v>
      </c>
      <c r="B41" s="313" t="s">
        <v>152</v>
      </c>
      <c r="C41" s="316"/>
      <c r="D41" s="316" t="s">
        <v>198</v>
      </c>
      <c r="E41" s="316"/>
      <c r="F41" s="316"/>
      <c r="G41" s="317" t="s">
        <v>128</v>
      </c>
    </row>
  </sheetData>
  <sheetProtection selectLockedCells="1" selectUnlockedCells="1"/>
  <mergeCells count="5">
    <mergeCell ref="A40:G40"/>
    <mergeCell ref="A1:G1"/>
    <mergeCell ref="A2:G2"/>
    <mergeCell ref="A3:G3"/>
    <mergeCell ref="A8:G8"/>
  </mergeCells>
  <printOptions/>
  <pageMargins left="0.75" right="0.75" top="1" bottom="1" header="0.5118055555555555" footer="0.5118055555555555"/>
  <pageSetup fitToHeight="1" fitToWidth="1" horizontalDpi="300" verticalDpi="300" orientation="portrait" paperSize="9" scale="68"/>
</worksheet>
</file>

<file path=xl/worksheets/sheet41.xml><?xml version="1.0" encoding="utf-8"?>
<worksheet xmlns="http://schemas.openxmlformats.org/spreadsheetml/2006/main" xmlns:r="http://schemas.openxmlformats.org/officeDocument/2006/relationships">
  <dimension ref="B2:AH56"/>
  <sheetViews>
    <sheetView zoomScalePageLayoutView="0" workbookViewId="0" topLeftCell="A1">
      <selection activeCell="A1" sqref="A1:N28"/>
    </sheetView>
  </sheetViews>
  <sheetFormatPr defaultColWidth="11.57421875" defaultRowHeight="12.75"/>
  <cols>
    <col min="1" max="1" width="2.8515625" style="8" customWidth="1"/>
    <col min="2" max="2" width="13.00390625" style="8" customWidth="1"/>
    <col min="3" max="21" width="11.421875" style="8" customWidth="1"/>
    <col min="22" max="16384" width="11.421875" style="8" customWidth="1"/>
  </cols>
  <sheetData>
    <row r="2" spans="2:31" ht="15.75">
      <c r="B2" s="208" t="s">
        <v>129</v>
      </c>
      <c r="C2" s="209">
        <v>42825</v>
      </c>
      <c r="D2" s="209">
        <v>42832</v>
      </c>
      <c r="E2" s="209">
        <v>42839</v>
      </c>
      <c r="F2" s="209">
        <v>42846</v>
      </c>
      <c r="G2" s="209">
        <v>42853</v>
      </c>
      <c r="H2" s="209">
        <v>42860</v>
      </c>
      <c r="I2" s="209">
        <v>42867</v>
      </c>
      <c r="J2" s="209">
        <v>42874</v>
      </c>
      <c r="K2" s="209">
        <v>42881</v>
      </c>
      <c r="L2" s="209">
        <v>42888</v>
      </c>
      <c r="M2" s="209">
        <v>42895</v>
      </c>
      <c r="N2" s="209">
        <v>42902</v>
      </c>
      <c r="O2" s="209">
        <v>42909</v>
      </c>
      <c r="P2" s="209">
        <v>42916</v>
      </c>
      <c r="Q2" s="209">
        <v>42923</v>
      </c>
      <c r="R2" s="209">
        <v>42930</v>
      </c>
      <c r="S2" s="209">
        <v>42937</v>
      </c>
      <c r="T2" s="209">
        <v>42944</v>
      </c>
      <c r="U2" s="209">
        <v>42951</v>
      </c>
      <c r="V2" s="209">
        <v>42958</v>
      </c>
      <c r="W2" s="209">
        <v>42965</v>
      </c>
      <c r="X2" s="209">
        <v>42972</v>
      </c>
      <c r="Y2" s="209">
        <v>42979</v>
      </c>
      <c r="Z2" s="209">
        <v>42986</v>
      </c>
      <c r="AA2" s="209">
        <v>42993</v>
      </c>
      <c r="AB2" s="209">
        <v>43000</v>
      </c>
      <c r="AC2" s="209">
        <v>43007</v>
      </c>
      <c r="AD2" s="209">
        <v>43014</v>
      </c>
      <c r="AE2" s="209">
        <v>43021</v>
      </c>
    </row>
    <row r="3" spans="2:34" ht="15.75">
      <c r="B3" s="210">
        <v>0.6666666666666666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G3" s="362"/>
      <c r="AH3" s="363"/>
    </row>
    <row r="4" spans="2:34" ht="15.75">
      <c r="B4" s="212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G4" s="364"/>
      <c r="AH4" s="365"/>
    </row>
    <row r="5" spans="2:34" ht="15.75">
      <c r="B5" s="212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G5" s="364"/>
      <c r="AH5" s="365"/>
    </row>
    <row r="6" spans="2:34" ht="15.75">
      <c r="B6" s="212"/>
      <c r="C6" s="211"/>
      <c r="D6" s="211"/>
      <c r="E6" s="342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G6" s="364"/>
      <c r="AH6" s="365"/>
    </row>
    <row r="7" spans="2:34" s="70" customFormat="1" ht="15.75">
      <c r="B7" s="213">
        <v>0.6770833333333334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G7" s="364"/>
      <c r="AH7" s="365"/>
    </row>
    <row r="8" spans="2:34" s="70" customFormat="1" ht="15.75">
      <c r="B8" s="215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G8" s="364"/>
      <c r="AH8" s="365"/>
    </row>
    <row r="9" spans="2:34" s="70" customFormat="1" ht="15.75">
      <c r="B9" s="215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G9" s="364"/>
      <c r="AH9" s="365"/>
    </row>
    <row r="10" spans="2:34" s="70" customFormat="1" ht="15.75">
      <c r="B10" s="215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G10" s="364"/>
      <c r="AH10" s="365"/>
    </row>
    <row r="11" spans="2:34" ht="15.75">
      <c r="B11" s="210">
        <v>0.6875</v>
      </c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G11" s="364"/>
      <c r="AH11" s="365"/>
    </row>
    <row r="12" spans="2:34" ht="15.75">
      <c r="B12" s="212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G12" s="364"/>
      <c r="AH12" s="365"/>
    </row>
    <row r="13" spans="2:34" ht="15.75">
      <c r="B13" s="212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G13" s="364"/>
      <c r="AH13" s="365"/>
    </row>
    <row r="14" spans="2:34" ht="15.75">
      <c r="B14" s="212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G14" s="364"/>
      <c r="AH14" s="365"/>
    </row>
    <row r="15" spans="2:34" s="70" customFormat="1" ht="15.75">
      <c r="B15" s="213">
        <v>0.6979166666666666</v>
      </c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G15" s="364"/>
      <c r="AH15" s="365"/>
    </row>
    <row r="16" spans="2:34" s="70" customFormat="1" ht="15.75">
      <c r="B16" s="215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G16" s="366"/>
      <c r="AH16" s="365"/>
    </row>
    <row r="17" spans="2:34" s="70" customFormat="1" ht="15.75">
      <c r="B17" s="215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G17" s="366"/>
      <c r="AH17" s="365"/>
    </row>
    <row r="18" spans="2:34" s="70" customFormat="1" ht="15.75">
      <c r="B18" s="215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G18" s="364"/>
      <c r="AH18" s="365"/>
    </row>
    <row r="19" spans="2:34" ht="15.75">
      <c r="B19" s="210">
        <v>0.7083333333333334</v>
      </c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G19" s="364"/>
      <c r="AH19" s="365"/>
    </row>
    <row r="20" spans="2:34" ht="15.75">
      <c r="B20" s="212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G20" s="364"/>
      <c r="AH20" s="365"/>
    </row>
    <row r="21" spans="2:34" ht="15.75">
      <c r="B21" s="212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G21" s="364"/>
      <c r="AH21" s="365"/>
    </row>
    <row r="22" spans="2:34" ht="15.75">
      <c r="B22" s="212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G22" s="364"/>
      <c r="AH22" s="365"/>
    </row>
    <row r="23" spans="2:34" ht="15.75">
      <c r="B23" s="213">
        <v>0.71875</v>
      </c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G23" s="364"/>
      <c r="AH23" s="365"/>
    </row>
    <row r="24" spans="2:34" ht="15.75">
      <c r="B24" s="215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G24" s="364"/>
      <c r="AH24" s="365"/>
    </row>
    <row r="25" spans="2:34" ht="15.75">
      <c r="B25" s="215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G25" s="364"/>
      <c r="AH25" s="365"/>
    </row>
    <row r="26" spans="2:34" ht="15.75">
      <c r="B26" s="215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G26" s="364"/>
      <c r="AH26" s="365"/>
    </row>
    <row r="27" spans="2:34" s="70" customFormat="1" ht="12.75">
      <c r="B27" s="162" t="s">
        <v>138</v>
      </c>
      <c r="C27" s="162">
        <f aca="true" t="shared" si="0" ref="C27:W27">COUNTA(C3:C26)</f>
        <v>0</v>
      </c>
      <c r="D27" s="162">
        <f t="shared" si="0"/>
        <v>0</v>
      </c>
      <c r="E27" s="162">
        <f t="shared" si="0"/>
        <v>0</v>
      </c>
      <c r="F27" s="162">
        <f t="shared" si="0"/>
        <v>0</v>
      </c>
      <c r="G27" s="162">
        <f t="shared" si="0"/>
        <v>0</v>
      </c>
      <c r="H27" s="162">
        <f t="shared" si="0"/>
        <v>0</v>
      </c>
      <c r="I27" s="162">
        <f t="shared" si="0"/>
        <v>0</v>
      </c>
      <c r="J27" s="162">
        <f t="shared" si="0"/>
        <v>0</v>
      </c>
      <c r="K27" s="162">
        <f t="shared" si="0"/>
        <v>0</v>
      </c>
      <c r="L27" s="162">
        <f t="shared" si="0"/>
        <v>0</v>
      </c>
      <c r="M27" s="162">
        <f t="shared" si="0"/>
        <v>0</v>
      </c>
      <c r="N27" s="162">
        <f t="shared" si="0"/>
        <v>0</v>
      </c>
      <c r="O27" s="162">
        <f t="shared" si="0"/>
        <v>0</v>
      </c>
      <c r="P27" s="162">
        <f t="shared" si="0"/>
        <v>0</v>
      </c>
      <c r="Q27" s="162">
        <f t="shared" si="0"/>
        <v>0</v>
      </c>
      <c r="R27" s="162">
        <f t="shared" si="0"/>
        <v>0</v>
      </c>
      <c r="S27" s="162">
        <f t="shared" si="0"/>
        <v>0</v>
      </c>
      <c r="T27" s="162">
        <f t="shared" si="0"/>
        <v>0</v>
      </c>
      <c r="U27" s="162">
        <f t="shared" si="0"/>
        <v>0</v>
      </c>
      <c r="V27" s="162">
        <f t="shared" si="0"/>
        <v>0</v>
      </c>
      <c r="W27" s="162">
        <f t="shared" si="0"/>
        <v>0</v>
      </c>
      <c r="X27" s="162">
        <f aca="true" t="shared" si="1" ref="X27:AD27">COUNTA(X3:X26)</f>
        <v>0</v>
      </c>
      <c r="Y27" s="162">
        <f t="shared" si="1"/>
        <v>0</v>
      </c>
      <c r="Z27" s="162">
        <f t="shared" si="1"/>
        <v>0</v>
      </c>
      <c r="AA27" s="162">
        <f t="shared" si="1"/>
        <v>0</v>
      </c>
      <c r="AB27" s="162">
        <f t="shared" si="1"/>
        <v>0</v>
      </c>
      <c r="AC27" s="162">
        <f t="shared" si="1"/>
        <v>0</v>
      </c>
      <c r="AD27" s="162">
        <f t="shared" si="1"/>
        <v>0</v>
      </c>
      <c r="AE27" s="162">
        <f>COUNTA(AE3:AE26)</f>
        <v>0</v>
      </c>
      <c r="AG27" s="162">
        <f>COUNTA(AG3:AG26)</f>
        <v>0</v>
      </c>
      <c r="AH27" s="342"/>
    </row>
    <row r="28" s="70" customFormat="1" ht="12.75"/>
    <row r="29" s="70" customFormat="1" ht="12.75"/>
    <row r="30" ht="12.75">
      <c r="J30" s="70"/>
    </row>
    <row r="31" spans="8:16" ht="12.75">
      <c r="H31" s="70"/>
      <c r="I31" s="259"/>
      <c r="J31" s="259"/>
      <c r="K31" s="259"/>
      <c r="L31" s="259"/>
      <c r="M31" s="258"/>
      <c r="N31" s="258"/>
      <c r="O31" s="258"/>
      <c r="P31" s="259"/>
    </row>
    <row r="32" spans="12:15" ht="13.5">
      <c r="L32" s="260"/>
      <c r="M32" s="303"/>
      <c r="N32" s="103"/>
      <c r="O32" s="300"/>
    </row>
    <row r="33" spans="12:15" ht="13.5">
      <c r="L33" s="260"/>
      <c r="M33" s="303"/>
      <c r="N33" s="301"/>
      <c r="O33" s="300"/>
    </row>
    <row r="34" spans="12:15" ht="13.5">
      <c r="L34" s="302"/>
      <c r="M34" s="303"/>
      <c r="N34" s="103"/>
      <c r="O34" s="300"/>
    </row>
    <row r="35" spans="12:15" ht="13.5">
      <c r="L35" s="302"/>
      <c r="M35" s="303"/>
      <c r="N35" s="301"/>
      <c r="O35" s="300"/>
    </row>
    <row r="36" spans="12:15" ht="13.5">
      <c r="L36" s="260"/>
      <c r="M36" s="303"/>
      <c r="N36" s="103"/>
      <c r="O36" s="300"/>
    </row>
    <row r="37" spans="12:15" ht="16.5" customHeight="1">
      <c r="L37" s="260"/>
      <c r="M37" s="303"/>
      <c r="N37" s="103"/>
      <c r="O37" s="300"/>
    </row>
    <row r="38" spans="12:15" ht="13.5">
      <c r="L38" s="260"/>
      <c r="M38" s="303"/>
      <c r="N38" s="103"/>
      <c r="O38" s="300"/>
    </row>
    <row r="39" spans="12:15" ht="13.5">
      <c r="L39" s="260"/>
      <c r="M39" s="303"/>
      <c r="N39" s="301"/>
      <c r="O39" s="300"/>
    </row>
    <row r="40" spans="12:15" ht="13.5">
      <c r="L40" s="260"/>
      <c r="M40" s="303"/>
      <c r="N40" s="103"/>
      <c r="O40" s="300"/>
    </row>
    <row r="41" spans="12:15" ht="13.5">
      <c r="L41" s="260"/>
      <c r="M41" s="303"/>
      <c r="N41" s="301"/>
      <c r="O41" s="300"/>
    </row>
    <row r="42" spans="12:15" ht="15" customHeight="1">
      <c r="L42" s="260"/>
      <c r="M42" s="303"/>
      <c r="N42" s="103"/>
      <c r="O42" s="300"/>
    </row>
    <row r="43" spans="12:15" ht="15" customHeight="1">
      <c r="L43" s="260"/>
      <c r="M43" s="303"/>
      <c r="N43" s="103"/>
      <c r="O43" s="300"/>
    </row>
    <row r="44" spans="12:15" ht="13.5">
      <c r="L44" s="260"/>
      <c r="M44" s="303"/>
      <c r="N44" s="301"/>
      <c r="O44" s="300"/>
    </row>
    <row r="45" spans="12:15" ht="13.5">
      <c r="L45" s="260"/>
      <c r="M45" s="303"/>
      <c r="N45" s="103"/>
      <c r="O45" s="300"/>
    </row>
    <row r="46" spans="12:15" ht="13.5">
      <c r="L46" s="260"/>
      <c r="M46" s="303"/>
      <c r="N46" s="301"/>
      <c r="O46" s="300"/>
    </row>
    <row r="47" spans="12:15" ht="13.5">
      <c r="L47" s="302"/>
      <c r="M47" s="303"/>
      <c r="N47" s="103"/>
      <c r="O47" s="300"/>
    </row>
    <row r="48" spans="12:15" ht="13.5">
      <c r="L48" s="302"/>
      <c r="M48" s="303"/>
      <c r="N48" s="301"/>
      <c r="O48" s="300"/>
    </row>
    <row r="49" spans="12:15" ht="13.5">
      <c r="L49" s="260"/>
      <c r="M49" s="304"/>
      <c r="N49" s="103"/>
      <c r="O49" s="300"/>
    </row>
    <row r="50" spans="12:15" ht="13.5">
      <c r="L50" s="260"/>
      <c r="M50" s="304"/>
      <c r="N50" s="301"/>
      <c r="O50" s="300"/>
    </row>
    <row r="51" spans="12:15" ht="13.5">
      <c r="L51" s="260"/>
      <c r="M51" s="304"/>
      <c r="N51" s="103"/>
      <c r="O51" s="300"/>
    </row>
    <row r="52" spans="12:15" ht="12.75" customHeight="1">
      <c r="L52" s="260"/>
      <c r="M52" s="304"/>
      <c r="N52" s="301"/>
      <c r="O52" s="300"/>
    </row>
    <row r="53" spans="12:15" ht="12.75" customHeight="1">
      <c r="L53" s="260"/>
      <c r="M53" s="304"/>
      <c r="N53" s="103"/>
      <c r="O53" s="300"/>
    </row>
    <row r="54" spans="12:15" ht="13.5">
      <c r="L54" s="260"/>
      <c r="M54" s="304"/>
      <c r="N54" s="301"/>
      <c r="O54" s="300"/>
    </row>
    <row r="55" spans="12:15" ht="12.75">
      <c r="L55" s="260"/>
      <c r="M55" s="260"/>
      <c r="N55" s="260"/>
      <c r="O55" s="260"/>
    </row>
    <row r="56" spans="12:15" ht="12.75">
      <c r="L56" s="260"/>
      <c r="M56" s="260"/>
      <c r="N56" s="260"/>
      <c r="O56" s="260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FF00"/>
  </sheetPr>
  <dimension ref="A1:AG28"/>
  <sheetViews>
    <sheetView zoomScalePageLayoutView="0" workbookViewId="0" topLeftCell="A1">
      <selection activeCell="A1" sqref="A1:N28"/>
    </sheetView>
  </sheetViews>
  <sheetFormatPr defaultColWidth="9.140625" defaultRowHeight="12.75"/>
  <cols>
    <col min="1" max="1" width="2.140625" style="15" customWidth="1"/>
    <col min="2" max="2" width="25.00390625" style="15" customWidth="1"/>
    <col min="3" max="3" width="15.140625" style="37" customWidth="1"/>
    <col min="4" max="17" width="3.28125" style="37" customWidth="1"/>
    <col min="18" max="32" width="3.28125" style="17" customWidth="1"/>
    <col min="33" max="16384" width="9.140625" style="15" customWidth="1"/>
  </cols>
  <sheetData>
    <row r="1" spans="3:32" ht="21.75" customHeight="1">
      <c r="C1" s="18" t="s">
        <v>144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</row>
    <row r="2" spans="2:32" s="20" customFormat="1" ht="68.25" customHeight="1">
      <c r="B2" s="21"/>
      <c r="C2" s="51" t="s">
        <v>145</v>
      </c>
      <c r="D2" s="183">
        <v>43015</v>
      </c>
      <c r="E2" s="183">
        <v>43013</v>
      </c>
      <c r="F2" s="183">
        <v>43006</v>
      </c>
      <c r="G2" s="183">
        <v>42999</v>
      </c>
      <c r="H2" s="183">
        <v>42992</v>
      </c>
      <c r="I2" s="183">
        <v>42985</v>
      </c>
      <c r="J2" s="183">
        <v>42978</v>
      </c>
      <c r="K2" s="183">
        <v>42971</v>
      </c>
      <c r="L2" s="183">
        <v>42964</v>
      </c>
      <c r="M2" s="183">
        <v>42957</v>
      </c>
      <c r="N2" s="183">
        <v>42950</v>
      </c>
      <c r="O2" s="183">
        <v>42943</v>
      </c>
      <c r="P2" s="183">
        <v>42936</v>
      </c>
      <c r="Q2" s="183">
        <v>42929</v>
      </c>
      <c r="R2" s="183">
        <v>42922</v>
      </c>
      <c r="S2" s="183">
        <v>42915</v>
      </c>
      <c r="T2" s="183">
        <v>42908</v>
      </c>
      <c r="U2" s="183">
        <v>42901</v>
      </c>
      <c r="V2" s="183">
        <v>42894</v>
      </c>
      <c r="W2" s="183">
        <v>42887</v>
      </c>
      <c r="X2" s="183">
        <v>42880</v>
      </c>
      <c r="Y2" s="183">
        <v>42873</v>
      </c>
      <c r="Z2" s="183">
        <v>42866</v>
      </c>
      <c r="AA2" s="183">
        <v>42859</v>
      </c>
      <c r="AB2" s="183">
        <v>42852</v>
      </c>
      <c r="AC2" s="183">
        <v>42845</v>
      </c>
      <c r="AD2" s="183">
        <v>42838</v>
      </c>
      <c r="AE2" s="183">
        <v>42831</v>
      </c>
      <c r="AF2" s="183">
        <v>42824</v>
      </c>
    </row>
    <row r="3" spans="2:32" ht="15.75">
      <c r="B3" s="152" t="s">
        <v>25</v>
      </c>
      <c r="C3" s="153">
        <f aca="true" t="shared" si="0" ref="C3:C26">SUM(D3:AF3)*50</f>
        <v>0</v>
      </c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</row>
    <row r="4" spans="2:33" s="24" customFormat="1" ht="15.75">
      <c r="B4" s="152" t="s">
        <v>41</v>
      </c>
      <c r="C4" s="153">
        <f t="shared" si="0"/>
        <v>0</v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"/>
    </row>
    <row r="5" spans="2:32" ht="15.75">
      <c r="B5" s="152" t="s">
        <v>15</v>
      </c>
      <c r="C5" s="153">
        <f t="shared" si="0"/>
        <v>0</v>
      </c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</row>
    <row r="6" spans="1:33" s="25" customFormat="1" ht="15.75">
      <c r="A6" s="15"/>
      <c r="B6" s="152" t="s">
        <v>19</v>
      </c>
      <c r="C6" s="153">
        <f t="shared" si="0"/>
        <v>0</v>
      </c>
      <c r="D6" s="154"/>
      <c r="E6" s="154"/>
      <c r="F6" s="240"/>
      <c r="G6" s="154"/>
      <c r="H6" s="154"/>
      <c r="I6" s="154"/>
      <c r="J6" s="154"/>
      <c r="K6" s="154"/>
      <c r="L6" s="154"/>
      <c r="M6" s="240"/>
      <c r="N6" s="154"/>
      <c r="O6" s="154"/>
      <c r="P6" s="154"/>
      <c r="Q6" s="154"/>
      <c r="R6" s="154"/>
      <c r="S6" s="240"/>
      <c r="T6" s="240"/>
      <c r="U6" s="240"/>
      <c r="V6" s="154"/>
      <c r="W6" s="154"/>
      <c r="X6" s="240"/>
      <c r="Y6" s="154"/>
      <c r="Z6" s="154"/>
      <c r="AA6" s="154"/>
      <c r="AB6" s="240"/>
      <c r="AC6" s="154"/>
      <c r="AD6" s="240"/>
      <c r="AE6" s="240"/>
      <c r="AF6" s="240"/>
      <c r="AG6" s="15"/>
    </row>
    <row r="7" spans="1:33" s="25" customFormat="1" ht="15.75">
      <c r="A7" s="15"/>
      <c r="B7" s="152" t="s">
        <v>45</v>
      </c>
      <c r="C7" s="153">
        <f t="shared" si="0"/>
        <v>0</v>
      </c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240"/>
      <c r="T7" s="154"/>
      <c r="U7" s="154"/>
      <c r="V7" s="154"/>
      <c r="W7" s="154"/>
      <c r="X7" s="240"/>
      <c r="Y7" s="154"/>
      <c r="Z7" s="154"/>
      <c r="AA7" s="154"/>
      <c r="AB7" s="240"/>
      <c r="AC7" s="154"/>
      <c r="AD7" s="154"/>
      <c r="AE7" s="154"/>
      <c r="AF7" s="154"/>
      <c r="AG7" s="15"/>
    </row>
    <row r="8" spans="1:33" s="25" customFormat="1" ht="15.75">
      <c r="A8" s="15"/>
      <c r="B8" s="152" t="s">
        <v>31</v>
      </c>
      <c r="C8" s="153">
        <f t="shared" si="0"/>
        <v>0</v>
      </c>
      <c r="D8" s="240"/>
      <c r="E8" s="240"/>
      <c r="F8" s="154"/>
      <c r="G8" s="154"/>
      <c r="H8" s="240"/>
      <c r="I8" s="240"/>
      <c r="J8" s="240"/>
      <c r="K8" s="154"/>
      <c r="L8" s="154"/>
      <c r="M8" s="154"/>
      <c r="N8" s="154"/>
      <c r="O8" s="154"/>
      <c r="P8" s="154"/>
      <c r="Q8" s="154"/>
      <c r="R8" s="154"/>
      <c r="S8" s="154"/>
      <c r="T8" s="240"/>
      <c r="U8" s="240"/>
      <c r="V8" s="154"/>
      <c r="W8" s="154"/>
      <c r="X8" s="154"/>
      <c r="Y8" s="240"/>
      <c r="Z8" s="240"/>
      <c r="AA8" s="154"/>
      <c r="AB8" s="154"/>
      <c r="AC8" s="154"/>
      <c r="AD8" s="240"/>
      <c r="AE8" s="240"/>
      <c r="AF8" s="240"/>
      <c r="AG8" s="15"/>
    </row>
    <row r="9" spans="2:32" ht="15.75">
      <c r="B9" s="152" t="s">
        <v>35</v>
      </c>
      <c r="C9" s="153">
        <f t="shared" si="0"/>
        <v>0</v>
      </c>
      <c r="D9" s="154"/>
      <c r="E9" s="240"/>
      <c r="F9" s="240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240"/>
      <c r="T9" s="240"/>
      <c r="U9" s="154"/>
      <c r="V9" s="154"/>
      <c r="W9" s="154"/>
      <c r="X9" s="240"/>
      <c r="Y9" s="154"/>
      <c r="Z9" s="154"/>
      <c r="AA9" s="154"/>
      <c r="AB9" s="240"/>
      <c r="AC9" s="154"/>
      <c r="AD9" s="154"/>
      <c r="AE9" s="154"/>
      <c r="AF9" s="154"/>
    </row>
    <row r="10" spans="2:32" ht="15.75">
      <c r="B10" s="152" t="s">
        <v>29</v>
      </c>
      <c r="C10" s="153">
        <f t="shared" si="0"/>
        <v>0</v>
      </c>
      <c r="D10" s="154"/>
      <c r="E10" s="154"/>
      <c r="F10" s="154"/>
      <c r="G10" s="240"/>
      <c r="H10" s="240"/>
      <c r="I10" s="154"/>
      <c r="J10" s="154"/>
      <c r="K10" s="154"/>
      <c r="L10" s="154"/>
      <c r="M10" s="154"/>
      <c r="N10" s="240"/>
      <c r="O10" s="240"/>
      <c r="P10" s="154"/>
      <c r="Q10" s="154"/>
      <c r="R10" s="154"/>
      <c r="S10" s="154"/>
      <c r="T10" s="154"/>
      <c r="U10" s="154"/>
      <c r="V10" s="240"/>
      <c r="W10" s="154"/>
      <c r="X10" s="154"/>
      <c r="Y10" s="154"/>
      <c r="Z10" s="240"/>
      <c r="AA10" s="154"/>
      <c r="AB10" s="240"/>
      <c r="AC10" s="154"/>
      <c r="AD10" s="240"/>
      <c r="AE10" s="240"/>
      <c r="AF10" s="240"/>
    </row>
    <row r="11" spans="1:32" ht="15.75">
      <c r="A11" s="25"/>
      <c r="B11" s="152" t="s">
        <v>9</v>
      </c>
      <c r="C11" s="153">
        <f t="shared" si="0"/>
        <v>0</v>
      </c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</row>
    <row r="12" spans="2:32" ht="15.75">
      <c r="B12" s="152" t="s">
        <v>11</v>
      </c>
      <c r="C12" s="153">
        <f t="shared" si="0"/>
        <v>0</v>
      </c>
      <c r="D12" s="154"/>
      <c r="E12" s="154"/>
      <c r="F12" s="240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240"/>
      <c r="U12" s="154"/>
      <c r="V12" s="154"/>
      <c r="W12" s="154"/>
      <c r="X12" s="240"/>
      <c r="Y12" s="154"/>
      <c r="Z12" s="240"/>
      <c r="AA12" s="154"/>
      <c r="AB12" s="154"/>
      <c r="AC12" s="154"/>
      <c r="AD12" s="154"/>
      <c r="AE12" s="154"/>
      <c r="AF12" s="154"/>
    </row>
    <row r="13" spans="1:32" ht="15.75">
      <c r="A13" s="25"/>
      <c r="B13" s="152" t="s">
        <v>13</v>
      </c>
      <c r="C13" s="153">
        <f t="shared" si="0"/>
        <v>0</v>
      </c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</row>
    <row r="14" spans="1:32" ht="15.75">
      <c r="A14" s="25"/>
      <c r="B14" s="152" t="s">
        <v>17</v>
      </c>
      <c r="C14" s="153">
        <f t="shared" si="0"/>
        <v>0</v>
      </c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240"/>
      <c r="V14" s="154"/>
      <c r="W14" s="154"/>
      <c r="X14" s="154"/>
      <c r="Y14" s="154"/>
      <c r="Z14" s="240"/>
      <c r="AA14" s="154"/>
      <c r="AB14" s="154"/>
      <c r="AC14" s="154"/>
      <c r="AD14" s="154"/>
      <c r="AE14" s="154"/>
      <c r="AF14" s="154"/>
    </row>
    <row r="15" spans="1:33" s="25" customFormat="1" ht="15.75">
      <c r="A15" s="15"/>
      <c r="B15" s="152" t="s">
        <v>21</v>
      </c>
      <c r="C15" s="153">
        <f t="shared" si="0"/>
        <v>0</v>
      </c>
      <c r="D15" s="154"/>
      <c r="E15" s="154"/>
      <c r="F15" s="240"/>
      <c r="G15" s="154"/>
      <c r="H15" s="154"/>
      <c r="I15" s="154"/>
      <c r="J15" s="154"/>
      <c r="K15" s="154"/>
      <c r="L15" s="154"/>
      <c r="M15" s="240"/>
      <c r="N15" s="154"/>
      <c r="O15" s="154"/>
      <c r="P15" s="154"/>
      <c r="Q15" s="154"/>
      <c r="R15" s="154"/>
      <c r="S15" s="240"/>
      <c r="T15" s="240"/>
      <c r="U15" s="240"/>
      <c r="V15" s="154"/>
      <c r="W15" s="154"/>
      <c r="X15" s="240"/>
      <c r="Y15" s="154"/>
      <c r="Z15" s="154"/>
      <c r="AA15" s="154"/>
      <c r="AB15" s="240"/>
      <c r="AC15" s="154"/>
      <c r="AD15" s="240"/>
      <c r="AE15" s="240"/>
      <c r="AF15" s="240"/>
      <c r="AG15" s="15"/>
    </row>
    <row r="16" spans="2:32" ht="15.75">
      <c r="B16" s="152" t="s">
        <v>23</v>
      </c>
      <c r="C16" s="153">
        <f t="shared" si="0"/>
        <v>0</v>
      </c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</row>
    <row r="17" spans="2:32" ht="15.75">
      <c r="B17" s="152" t="s">
        <v>27</v>
      </c>
      <c r="C17" s="153">
        <f t="shared" si="0"/>
        <v>0</v>
      </c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</row>
    <row r="18" spans="2:32" ht="15.75">
      <c r="B18" s="152" t="s">
        <v>33</v>
      </c>
      <c r="C18" s="153">
        <f t="shared" si="0"/>
        <v>0</v>
      </c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</row>
    <row r="19" spans="2:32" ht="15.75">
      <c r="B19" s="152" t="s">
        <v>37</v>
      </c>
      <c r="C19" s="153">
        <f t="shared" si="0"/>
        <v>0</v>
      </c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240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</row>
    <row r="20" spans="2:32" ht="15.75">
      <c r="B20" s="152" t="s">
        <v>39</v>
      </c>
      <c r="C20" s="153">
        <f t="shared" si="0"/>
        <v>0</v>
      </c>
      <c r="D20" s="240"/>
      <c r="E20" s="154"/>
      <c r="F20" s="240"/>
      <c r="G20" s="154"/>
      <c r="H20" s="240"/>
      <c r="I20" s="240"/>
      <c r="J20" s="154"/>
      <c r="K20" s="154"/>
      <c r="L20" s="154"/>
      <c r="M20" s="154"/>
      <c r="N20" s="154"/>
      <c r="O20" s="154"/>
      <c r="P20" s="154"/>
      <c r="Q20" s="240"/>
      <c r="R20" s="154"/>
      <c r="S20" s="240"/>
      <c r="T20" s="240"/>
      <c r="U20" s="154"/>
      <c r="V20" s="154"/>
      <c r="W20" s="154"/>
      <c r="X20" s="154"/>
      <c r="Y20" s="154"/>
      <c r="Z20" s="154"/>
      <c r="AA20" s="154"/>
      <c r="AB20" s="154"/>
      <c r="AC20" s="154"/>
      <c r="AD20" s="240"/>
      <c r="AE20" s="240"/>
      <c r="AF20" s="240"/>
    </row>
    <row r="21" spans="2:32" ht="15.75">
      <c r="B21" s="152" t="s">
        <v>43</v>
      </c>
      <c r="C21" s="153">
        <f t="shared" si="0"/>
        <v>0</v>
      </c>
      <c r="D21" s="240"/>
      <c r="E21" s="154"/>
      <c r="F21" s="240"/>
      <c r="G21" s="154"/>
      <c r="H21" s="240"/>
      <c r="I21" s="240"/>
      <c r="J21" s="154"/>
      <c r="K21" s="154"/>
      <c r="L21" s="154"/>
      <c r="M21" s="154"/>
      <c r="N21" s="154"/>
      <c r="O21" s="154"/>
      <c r="P21" s="154"/>
      <c r="Q21" s="154"/>
      <c r="R21" s="154"/>
      <c r="S21" s="240"/>
      <c r="T21" s="240"/>
      <c r="U21" s="154"/>
      <c r="V21" s="154"/>
      <c r="W21" s="154"/>
      <c r="X21" s="240"/>
      <c r="Y21" s="154"/>
      <c r="Z21" s="240"/>
      <c r="AA21" s="154"/>
      <c r="AB21" s="154"/>
      <c r="AC21" s="240"/>
      <c r="AD21" s="240"/>
      <c r="AE21" s="240"/>
      <c r="AF21" s="240"/>
    </row>
    <row r="22" spans="2:32" ht="15.75">
      <c r="B22" s="152" t="s">
        <v>47</v>
      </c>
      <c r="C22" s="153">
        <f t="shared" si="0"/>
        <v>0</v>
      </c>
      <c r="D22" s="154"/>
      <c r="E22" s="154"/>
      <c r="F22" s="154"/>
      <c r="G22" s="154"/>
      <c r="H22" s="240"/>
      <c r="I22" s="154"/>
      <c r="J22" s="240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240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</row>
    <row r="23" spans="2:32" ht="15.75">
      <c r="B23" s="152" t="s">
        <v>49</v>
      </c>
      <c r="C23" s="153">
        <f t="shared" si="0"/>
        <v>0</v>
      </c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240"/>
      <c r="P23" s="154"/>
      <c r="Q23" s="154"/>
      <c r="R23" s="154"/>
      <c r="S23" s="154"/>
      <c r="T23" s="154"/>
      <c r="U23" s="240"/>
      <c r="V23" s="154"/>
      <c r="W23" s="240"/>
      <c r="X23" s="240"/>
      <c r="Y23" s="240"/>
      <c r="Z23" s="154"/>
      <c r="AA23" s="154"/>
      <c r="AB23" s="154"/>
      <c r="AC23" s="154"/>
      <c r="AD23" s="240"/>
      <c r="AE23" s="240"/>
      <c r="AF23" s="240"/>
    </row>
    <row r="24" spans="2:32" ht="15.75">
      <c r="B24" s="152" t="s">
        <v>149</v>
      </c>
      <c r="C24" s="153">
        <f t="shared" si="0"/>
        <v>0</v>
      </c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</row>
    <row r="25" spans="2:32" ht="15.75">
      <c r="B25" s="152" t="s">
        <v>51</v>
      </c>
      <c r="C25" s="153">
        <f t="shared" si="0"/>
        <v>0</v>
      </c>
      <c r="D25" s="154"/>
      <c r="E25" s="154"/>
      <c r="F25" s="154"/>
      <c r="G25" s="154"/>
      <c r="H25" s="154"/>
      <c r="I25" s="240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</row>
    <row r="26" spans="2:32" ht="15.75">
      <c r="B26" s="155" t="s">
        <v>53</v>
      </c>
      <c r="C26" s="153">
        <f t="shared" si="0"/>
        <v>0</v>
      </c>
      <c r="D26" s="157"/>
      <c r="E26" s="157"/>
      <c r="F26" s="157"/>
      <c r="G26" s="157"/>
      <c r="H26" s="157"/>
      <c r="I26" s="157"/>
      <c r="J26" s="157"/>
      <c r="K26" s="154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4"/>
      <c r="X26" s="157"/>
      <c r="Y26" s="157"/>
      <c r="Z26" s="157"/>
      <c r="AA26" s="157"/>
      <c r="AB26" s="157"/>
      <c r="AC26" s="157"/>
      <c r="AD26" s="157"/>
      <c r="AE26" s="157"/>
      <c r="AF26" s="157"/>
    </row>
    <row r="27" spans="4:32" ht="15.75">
      <c r="D27" s="44">
        <f aca="true" t="shared" si="1" ref="D27:AF27">SUM(D3:D26)</f>
        <v>0</v>
      </c>
      <c r="E27" s="44">
        <f t="shared" si="1"/>
        <v>0</v>
      </c>
      <c r="F27" s="44">
        <f t="shared" si="1"/>
        <v>0</v>
      </c>
      <c r="G27" s="44">
        <f t="shared" si="1"/>
        <v>0</v>
      </c>
      <c r="H27" s="44">
        <f t="shared" si="1"/>
        <v>0</v>
      </c>
      <c r="I27" s="44">
        <f t="shared" si="1"/>
        <v>0</v>
      </c>
      <c r="J27" s="44">
        <f t="shared" si="1"/>
        <v>0</v>
      </c>
      <c r="K27" s="44">
        <f t="shared" si="1"/>
        <v>0</v>
      </c>
      <c r="L27" s="44">
        <f t="shared" si="1"/>
        <v>0</v>
      </c>
      <c r="M27" s="44">
        <f t="shared" si="1"/>
        <v>0</v>
      </c>
      <c r="N27" s="44">
        <f t="shared" si="1"/>
        <v>0</v>
      </c>
      <c r="O27" s="44">
        <f t="shared" si="1"/>
        <v>0</v>
      </c>
      <c r="P27" s="44">
        <f t="shared" si="1"/>
        <v>0</v>
      </c>
      <c r="Q27" s="44">
        <f t="shared" si="1"/>
        <v>0</v>
      </c>
      <c r="R27" s="44">
        <f t="shared" si="1"/>
        <v>0</v>
      </c>
      <c r="S27" s="44">
        <f t="shared" si="1"/>
        <v>0</v>
      </c>
      <c r="T27" s="44">
        <f t="shared" si="1"/>
        <v>0</v>
      </c>
      <c r="U27" s="44">
        <f t="shared" si="1"/>
        <v>0</v>
      </c>
      <c r="V27" s="44">
        <f t="shared" si="1"/>
        <v>0</v>
      </c>
      <c r="W27" s="44">
        <f t="shared" si="1"/>
        <v>0</v>
      </c>
      <c r="X27" s="44">
        <f t="shared" si="1"/>
        <v>0</v>
      </c>
      <c r="Y27" s="44">
        <f t="shared" si="1"/>
        <v>0</v>
      </c>
      <c r="Z27" s="44">
        <f t="shared" si="1"/>
        <v>0</v>
      </c>
      <c r="AA27" s="44">
        <f t="shared" si="1"/>
        <v>0</v>
      </c>
      <c r="AB27" s="44">
        <f t="shared" si="1"/>
        <v>0</v>
      </c>
      <c r="AC27" s="44">
        <f t="shared" si="1"/>
        <v>0</v>
      </c>
      <c r="AD27" s="44">
        <f t="shared" si="1"/>
        <v>0</v>
      </c>
      <c r="AE27" s="44">
        <f t="shared" si="1"/>
        <v>0</v>
      </c>
      <c r="AF27" s="44">
        <f t="shared" si="1"/>
        <v>0</v>
      </c>
    </row>
    <row r="28" spans="2:32" ht="15.75">
      <c r="B28" s="189"/>
      <c r="C28" s="48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</row>
  </sheetData>
  <sheetProtection selectLockedCells="1" selectUnlockedCells="1"/>
  <autoFilter ref="B2:AF2">
    <sortState ref="B3:AF28">
      <sortCondition descending="1" sortBy="value" ref="C3:C28"/>
    </sortState>
  </autoFilter>
  <printOptions horizontalCentered="1" verticalCentered="1"/>
  <pageMargins left="0.43333333333333335" right="0.43333333333333335" top="0.5513888888888889" bottom="0.5513888888888889" header="0.5118055555555555" footer="0.5118055555555555"/>
  <pageSetup horizontalDpi="300" verticalDpi="300" orientation="landscape" paperSize="9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A1" sqref="A1:N28"/>
    </sheetView>
  </sheetViews>
  <sheetFormatPr defaultColWidth="11.57421875" defaultRowHeight="12.75"/>
  <cols>
    <col min="1" max="1" width="9.28125" style="0" customWidth="1"/>
    <col min="2" max="2" width="11.421875" style="0" customWidth="1"/>
    <col min="3" max="3" width="43.00390625" style="0" customWidth="1"/>
    <col min="4" max="4" width="21.7109375" style="197" customWidth="1"/>
    <col min="5" max="5" width="12.140625" style="10" customWidth="1"/>
    <col min="6" max="6" width="21.7109375" style="197" bestFit="1" customWidth="1"/>
    <col min="7" max="7" width="18.28125" style="197" customWidth="1"/>
    <col min="8" max="16384" width="11.421875" style="0" customWidth="1"/>
  </cols>
  <sheetData>
    <row r="1" spans="1:7" ht="28.5">
      <c r="A1" s="463" t="s">
        <v>173</v>
      </c>
      <c r="B1" s="463"/>
      <c r="C1" s="463"/>
      <c r="D1" s="463"/>
      <c r="E1" s="463"/>
      <c r="F1" s="463"/>
      <c r="G1" s="463"/>
    </row>
    <row r="2" spans="1:8" s="10" customFormat="1" ht="15.75">
      <c r="A2" s="159" t="s">
        <v>74</v>
      </c>
      <c r="B2" s="159" t="s">
        <v>116</v>
      </c>
      <c r="C2" s="159" t="s">
        <v>117</v>
      </c>
      <c r="D2" s="159" t="s">
        <v>130</v>
      </c>
      <c r="E2" s="159" t="s">
        <v>131</v>
      </c>
      <c r="F2" s="159" t="s">
        <v>132</v>
      </c>
      <c r="G2" s="299" t="s">
        <v>137</v>
      </c>
      <c r="H2" s="124"/>
    </row>
    <row r="3" spans="1:7" ht="15.75">
      <c r="A3" s="255"/>
      <c r="B3" s="254"/>
      <c r="C3" s="253"/>
      <c r="D3" s="180"/>
      <c r="E3" s="204"/>
      <c r="F3" s="252"/>
      <c r="G3" s="349"/>
    </row>
    <row r="4" spans="1:7" ht="16.5" thickBot="1">
      <c r="A4" s="418"/>
      <c r="B4" s="158"/>
      <c r="C4" s="332"/>
      <c r="D4" s="419"/>
      <c r="E4" s="158"/>
      <c r="F4" s="332"/>
      <c r="G4" s="420"/>
    </row>
    <row r="5" spans="1:7" ht="15.75" hidden="1">
      <c r="A5" s="388">
        <f>'Tourplan m. sløjfer'!A11</f>
        <v>42838</v>
      </c>
      <c r="B5" s="389">
        <f>'Tourplan m. sløjfer'!C11</f>
        <v>6000000</v>
      </c>
      <c r="C5" s="390" t="str">
        <f>'Tourplan m. sløjfer'!D11</f>
        <v>RBC Heritage </v>
      </c>
      <c r="D5" s="391" t="str">
        <f>'13-04'!A4</f>
        <v>Jakob Kristensen</v>
      </c>
      <c r="E5" s="389">
        <f>'13-04'!C4</f>
        <v>31</v>
      </c>
      <c r="F5" s="391" t="str">
        <f>'13-04'!A11</f>
        <v>Kristian Dam</v>
      </c>
      <c r="G5" s="392">
        <f>'13-04'!E11</f>
        <v>3.75</v>
      </c>
    </row>
    <row r="6" spans="1:7" ht="15.75" hidden="1">
      <c r="A6" s="388">
        <f>'Tourplan m. sløjfer'!A12</f>
        <v>42845</v>
      </c>
      <c r="B6" s="389">
        <f>'Tourplan m. sløjfer'!C12</f>
        <v>6000000</v>
      </c>
      <c r="C6" s="402" t="s">
        <v>112</v>
      </c>
      <c r="D6" s="346" t="str">
        <f>'20-04'!A4</f>
        <v>Kristian Dam</v>
      </c>
      <c r="E6" s="343">
        <f>'20-04'!C4</f>
        <v>33</v>
      </c>
      <c r="F6" s="396" t="str">
        <f>'20-04'!A18</f>
        <v>Jakob Kristensen</v>
      </c>
      <c r="G6" s="350">
        <f>'20-04'!E18</f>
        <v>6.8</v>
      </c>
    </row>
    <row r="7" spans="1:7" ht="15.75" hidden="1">
      <c r="A7" s="388">
        <f>'Tourplan m. sløjfer'!A13</f>
        <v>42852</v>
      </c>
      <c r="B7" s="389">
        <f>'Tourplan m. sløjfer'!C13</f>
        <v>6000000</v>
      </c>
      <c r="C7" s="390" t="str">
        <f>'Tourplan m. sløjfer'!D13</f>
        <v>Zurich Classic of New Orleans </v>
      </c>
      <c r="D7" s="346" t="str">
        <f>'27-04'!A4</f>
        <v>Finn E. Christensen</v>
      </c>
      <c r="E7" s="343">
        <f>'20-04'!C4</f>
        <v>33</v>
      </c>
      <c r="F7" s="396" t="str">
        <f>'27-04'!A9</f>
        <v>Jesper Vohs Nielsen</v>
      </c>
      <c r="G7" s="350">
        <f>'27-04'!E9</f>
        <v>6.04</v>
      </c>
    </row>
    <row r="8" spans="1:7" ht="16.5" hidden="1" thickBot="1">
      <c r="A8" s="393">
        <f>'Tourplan m. sløjfer'!A14</f>
        <v>42859</v>
      </c>
      <c r="B8" s="394">
        <f>'Tourplan m. sløjfer'!C14</f>
        <v>6000000</v>
      </c>
      <c r="C8" s="395" t="str">
        <f>'Tourplan m. sløjfer'!D14</f>
        <v>Wells Fargo Championship </v>
      </c>
      <c r="D8" s="400"/>
      <c r="E8" s="401"/>
      <c r="F8" s="399"/>
      <c r="G8" s="351"/>
    </row>
    <row r="9" spans="1:7" ht="15.75" hidden="1">
      <c r="A9" s="388">
        <f>'Tourplan m. sløjfer'!A15</f>
        <v>42866</v>
      </c>
      <c r="B9" s="389">
        <f>'Tourplan m. sløjfer'!C15</f>
        <v>6000000</v>
      </c>
      <c r="C9" s="390" t="str">
        <f>'Tourplan m. sløjfer'!D15</f>
        <v>THE PLAYERS Championship </v>
      </c>
      <c r="D9" s="346" t="str">
        <f>'11-05'!A4</f>
        <v>Steen Nybo</v>
      </c>
      <c r="E9" s="343">
        <f>'11-05'!C4</f>
        <v>68</v>
      </c>
      <c r="F9" s="344" t="str">
        <f>'11-05'!A14</f>
        <v>Henning Vestergaard</v>
      </c>
      <c r="G9" s="350">
        <v>8.1</v>
      </c>
    </row>
    <row r="10" spans="1:7" ht="15.75" hidden="1">
      <c r="A10" s="388">
        <f>'Tourplan m. sløjfer'!A16</f>
        <v>42873</v>
      </c>
      <c r="B10" s="389">
        <f>'Tourplan m. sløjfer'!C16</f>
        <v>6000000</v>
      </c>
      <c r="C10" s="390" t="str">
        <f>'Tourplan m. sløjfer'!D16</f>
        <v>AT&amp;T Byron Nelson </v>
      </c>
      <c r="D10" s="346" t="str">
        <f>'18-05'!A4</f>
        <v>Jesper Vohs Nielsen</v>
      </c>
      <c r="E10" s="345">
        <v>42</v>
      </c>
      <c r="F10" s="346" t="str">
        <f>'18-05'!A16</f>
        <v>Karsten Valeur</v>
      </c>
      <c r="G10" s="350">
        <v>3.64</v>
      </c>
    </row>
    <row r="11" spans="1:7" ht="15.75" hidden="1">
      <c r="A11" s="388">
        <f>'Tourplan m. sløjfer'!A17</f>
        <v>42880</v>
      </c>
      <c r="B11" s="389">
        <f>'Tourplan m. sløjfer'!C17</f>
        <v>6000000</v>
      </c>
      <c r="C11" s="390" t="str">
        <f>'Tourplan m. sløjfer'!D17</f>
        <v>DEAN &amp; DELUCA Invitational </v>
      </c>
      <c r="D11" s="346" t="str">
        <f>'26-05'!A4</f>
        <v>Martin Andersen</v>
      </c>
      <c r="E11" s="343">
        <f>'11-05'!C4</f>
        <v>68</v>
      </c>
      <c r="F11" s="346" t="str">
        <f>'26-05'!A10</f>
        <v>Karsten Valeur</v>
      </c>
      <c r="G11" s="350">
        <v>1.65</v>
      </c>
    </row>
    <row r="12" spans="1:7" ht="15.75" hidden="1">
      <c r="A12" s="388">
        <v>42887</v>
      </c>
      <c r="B12" s="389">
        <f>'Tourplan m. sløjfer'!C18</f>
        <v>6000000</v>
      </c>
      <c r="C12" s="390" t="str">
        <f>'Tourplan m. sløjfer'!D18</f>
        <v>the Memorial Tournament presented by Nationwide </v>
      </c>
      <c r="D12" s="346"/>
      <c r="E12" s="343"/>
      <c r="F12" s="346"/>
      <c r="G12" s="350"/>
    </row>
    <row r="13" spans="1:7" ht="15.75" hidden="1">
      <c r="A13" s="388">
        <v>42894</v>
      </c>
      <c r="B13" s="389" t="str">
        <f>'Tourplan m. sløjfer'!C20</f>
        <v>2x5.000.000</v>
      </c>
      <c r="C13" s="402" t="s">
        <v>108</v>
      </c>
      <c r="D13" s="346" t="s">
        <v>28</v>
      </c>
      <c r="E13" s="343">
        <v>34</v>
      </c>
      <c r="F13" s="346"/>
      <c r="G13" s="350"/>
    </row>
    <row r="14" spans="1:7" ht="15.75" hidden="1">
      <c r="A14" s="388">
        <v>42901</v>
      </c>
      <c r="B14" s="389">
        <f>'Tourplan m. sløjfer'!C22</f>
        <v>6000000</v>
      </c>
      <c r="C14" s="402" t="s">
        <v>107</v>
      </c>
      <c r="D14" s="346" t="s">
        <v>148</v>
      </c>
      <c r="E14" s="345">
        <v>71</v>
      </c>
      <c r="F14" s="356" t="s">
        <v>18</v>
      </c>
      <c r="G14" s="350">
        <v>3.62</v>
      </c>
    </row>
    <row r="15" spans="1:7" ht="15.75" hidden="1">
      <c r="A15" s="388">
        <v>42908</v>
      </c>
      <c r="B15" s="389">
        <f>'Tourplan m. sløjfer'!C23</f>
        <v>6000000</v>
      </c>
      <c r="C15" s="390" t="s">
        <v>245</v>
      </c>
      <c r="D15" s="346" t="s">
        <v>148</v>
      </c>
      <c r="E15" s="345">
        <v>39</v>
      </c>
      <c r="F15" s="346" t="s">
        <v>26</v>
      </c>
      <c r="G15" s="350">
        <v>4.02</v>
      </c>
    </row>
    <row r="16" spans="1:7" ht="15.75" hidden="1">
      <c r="A16" s="388">
        <v>42915</v>
      </c>
      <c r="B16" s="389">
        <f>'Tourplan m. sløjfer'!C24</f>
        <v>6000000</v>
      </c>
      <c r="C16" s="390" t="s">
        <v>184</v>
      </c>
      <c r="D16" s="346"/>
      <c r="E16" s="397"/>
      <c r="F16" s="346"/>
      <c r="G16" s="350"/>
    </row>
    <row r="17" spans="1:7" ht="15.75" hidden="1">
      <c r="A17" s="388">
        <v>42922</v>
      </c>
      <c r="B17" s="389">
        <f>'Tourplan m. sløjfer'!C25</f>
        <v>6000000</v>
      </c>
      <c r="C17" s="390" t="s">
        <v>150</v>
      </c>
      <c r="D17" s="346"/>
      <c r="E17" s="345"/>
      <c r="F17" s="346"/>
      <c r="G17" s="350"/>
    </row>
    <row r="18" spans="1:7" ht="15.75" hidden="1">
      <c r="A18" s="388">
        <v>42929</v>
      </c>
      <c r="B18" s="389">
        <v>8000000</v>
      </c>
      <c r="C18" s="402" t="s">
        <v>250</v>
      </c>
      <c r="D18" s="346" t="s">
        <v>28</v>
      </c>
      <c r="E18" s="343">
        <v>37</v>
      </c>
      <c r="F18" s="346" t="s">
        <v>42</v>
      </c>
      <c r="G18" s="350">
        <v>3.76</v>
      </c>
    </row>
    <row r="19" spans="1:7" ht="15.75" hidden="1">
      <c r="A19" s="388">
        <v>42936</v>
      </c>
      <c r="B19" s="389">
        <f>'Tourplan m. sløjfer'!C27</f>
        <v>6000000</v>
      </c>
      <c r="C19" s="402" t="s">
        <v>253</v>
      </c>
      <c r="D19" s="346" t="s">
        <v>18</v>
      </c>
      <c r="E19" s="343">
        <v>65</v>
      </c>
      <c r="F19" s="346"/>
      <c r="G19" s="350"/>
    </row>
    <row r="20" spans="1:7" ht="15.75" hidden="1">
      <c r="A20" s="388">
        <v>42943</v>
      </c>
      <c r="B20" s="389">
        <f>'Tourplan m. sløjfer'!C26</f>
        <v>8000000</v>
      </c>
      <c r="C20" s="405" t="s">
        <v>186</v>
      </c>
      <c r="D20" s="197" t="s">
        <v>48</v>
      </c>
      <c r="E20" s="10">
        <v>40</v>
      </c>
      <c r="F20" s="356" t="s">
        <v>28</v>
      </c>
      <c r="G20" s="350">
        <v>3.1</v>
      </c>
    </row>
    <row r="21" spans="1:7" ht="15.75" hidden="1">
      <c r="A21" s="388">
        <v>42950</v>
      </c>
      <c r="B21" s="389">
        <f>'Tourplan m. sløjfer'!C29</f>
        <v>6000000</v>
      </c>
      <c r="C21" s="390" t="str">
        <f>'Tourplan m. sløjfer'!D28</f>
        <v>WGC - Bridgestone Invitational </v>
      </c>
      <c r="D21" s="346"/>
      <c r="E21" s="343"/>
      <c r="F21" s="346"/>
      <c r="G21" s="350"/>
    </row>
    <row r="22" spans="1:7" ht="15.75" hidden="1">
      <c r="A22" s="388">
        <v>42957</v>
      </c>
      <c r="B22" s="389">
        <f>'Tourplan m. sløjfer'!C30</f>
        <v>6000000</v>
      </c>
      <c r="C22" s="390" t="str">
        <f>'Tourplan m. sløjfer'!D29</f>
        <v>PGA CHAMPIONSHIP </v>
      </c>
      <c r="D22" s="346" t="str">
        <f>'10-08'!A4</f>
        <v>Ole Malmskov</v>
      </c>
      <c r="E22" s="345">
        <f>'10-08'!C4</f>
        <v>64</v>
      </c>
      <c r="F22" s="346" t="str">
        <f>'10-08'!A8</f>
        <v>Carsten Dahl</v>
      </c>
      <c r="G22" s="350">
        <f>'10-08'!E8</f>
        <v>3.47</v>
      </c>
    </row>
    <row r="23" spans="1:7" ht="15.75" hidden="1">
      <c r="A23" s="388">
        <v>42964</v>
      </c>
      <c r="B23" s="389">
        <f>'Tourplan m. sløjfer'!C31</f>
        <v>6000000</v>
      </c>
      <c r="C23" s="390" t="s">
        <v>141</v>
      </c>
      <c r="D23" s="346" t="str">
        <f>'17-08'!A4</f>
        <v>Carsten Dahl</v>
      </c>
      <c r="E23" s="343">
        <v>36</v>
      </c>
      <c r="F23" s="398" t="str">
        <f>'17-08'!A10</f>
        <v>Robin Thybo</v>
      </c>
      <c r="G23" s="350">
        <f>'17-08'!E10</f>
        <v>5.69</v>
      </c>
    </row>
    <row r="24" spans="1:7" ht="15.75" hidden="1">
      <c r="A24" s="388">
        <v>42971</v>
      </c>
      <c r="B24" s="389">
        <f>'Tourplan m. sløjfer'!C32</f>
        <v>6000000</v>
      </c>
      <c r="C24" s="402" t="s">
        <v>151</v>
      </c>
      <c r="D24" s="346" t="str">
        <f>'24-08'!A4</f>
        <v>Carsten Dahl</v>
      </c>
      <c r="E24" s="343">
        <v>39</v>
      </c>
      <c r="F24" s="356" t="str">
        <f>'24-08'!A14</f>
        <v>Ole Malmskov</v>
      </c>
      <c r="G24" s="350">
        <f>'24-08'!E14</f>
        <v>4.34</v>
      </c>
    </row>
    <row r="25" spans="1:7" ht="15.75" hidden="1">
      <c r="A25" s="388">
        <v>42978</v>
      </c>
      <c r="B25" s="389">
        <f>'Tourplan m. sløjfer'!C34</f>
        <v>6000000</v>
      </c>
      <c r="C25" s="390" t="s">
        <v>268</v>
      </c>
      <c r="D25" s="346" t="str">
        <f>'31-08'!A4</f>
        <v>Morten Clausen</v>
      </c>
      <c r="E25" s="345">
        <v>40</v>
      </c>
      <c r="F25" s="346" t="str">
        <f>'31-08'!A9</f>
        <v>Carsten Lund</v>
      </c>
      <c r="G25" s="350">
        <f>'31-08'!E9</f>
        <v>4.6</v>
      </c>
    </row>
    <row r="26" spans="1:7" ht="15.75" hidden="1">
      <c r="A26" s="388">
        <v>42985</v>
      </c>
      <c r="B26" s="389">
        <f>'Tourplan m. sløjfer'!C35</f>
        <v>6000000</v>
      </c>
      <c r="C26" s="390" t="s">
        <v>195</v>
      </c>
      <c r="D26" s="346" t="s">
        <v>28</v>
      </c>
      <c r="E26" s="345">
        <v>39</v>
      </c>
      <c r="F26" s="346" t="s">
        <v>14</v>
      </c>
      <c r="G26" s="350">
        <v>1.46</v>
      </c>
    </row>
    <row r="27" spans="1:7" ht="15.75">
      <c r="A27" s="388">
        <v>42992</v>
      </c>
      <c r="B27" s="389">
        <v>6000000</v>
      </c>
      <c r="C27" s="390" t="str">
        <f>'Tourplan m. sløjfer'!D35</f>
        <v>BMW Championship </v>
      </c>
      <c r="D27" s="346" t="s">
        <v>293</v>
      </c>
      <c r="E27" s="345">
        <v>37</v>
      </c>
      <c r="F27" s="346" t="str">
        <f>'14-09'!A17</f>
        <v>Carsten Dahl</v>
      </c>
      <c r="G27" s="350">
        <v>1.56</v>
      </c>
    </row>
    <row r="28" spans="1:7" ht="15.75">
      <c r="A28" s="388">
        <v>42999</v>
      </c>
      <c r="B28" s="389">
        <v>7000000</v>
      </c>
      <c r="C28" s="390" t="str">
        <f>'Tourplan m. sløjfer'!D36</f>
        <v>TOUR Championship </v>
      </c>
      <c r="D28" s="346" t="str">
        <f>'21-09'!A4</f>
        <v>Torben Jacobsen</v>
      </c>
      <c r="E28" s="343">
        <v>37</v>
      </c>
      <c r="F28" s="346" t="str">
        <f>'21-09'!A12</f>
        <v>Børge Heiberg</v>
      </c>
      <c r="G28" s="350">
        <v>6.33</v>
      </c>
    </row>
    <row r="29" spans="1:7" ht="15.75">
      <c r="A29" s="388">
        <v>43006</v>
      </c>
      <c r="B29" s="389">
        <f>'Tourplan m. sløjfer'!C37</f>
        <v>8000000</v>
      </c>
      <c r="C29" s="390" t="str">
        <f>'Tourplan m. sløjfer'!D37</f>
        <v>The Presidents Cup</v>
      </c>
      <c r="D29" s="346" t="str">
        <f>'28-09'!A4</f>
        <v>Jakob Kristensen</v>
      </c>
      <c r="E29" s="397">
        <v>36</v>
      </c>
      <c r="F29" s="346" t="str">
        <f>'28-09'!A11</f>
        <v>Jens Laigaard</v>
      </c>
      <c r="G29" s="350">
        <f>'28-09'!E11</f>
        <v>6.75</v>
      </c>
    </row>
    <row r="30" spans="1:7" ht="16.5" thickBot="1">
      <c r="A30" s="393">
        <v>43013</v>
      </c>
      <c r="B30" s="394">
        <v>7000001</v>
      </c>
      <c r="C30" s="415" t="s">
        <v>142</v>
      </c>
      <c r="D30" s="416"/>
      <c r="E30" s="417"/>
      <c r="F30" s="416"/>
      <c r="G30" s="351"/>
    </row>
    <row r="31" spans="1:7" ht="15.75">
      <c r="A31" s="388">
        <v>43015</v>
      </c>
      <c r="B31" s="389">
        <f>'Tourplan m. sløjfer'!C39</f>
        <v>10000000</v>
      </c>
      <c r="C31" s="402" t="s">
        <v>169</v>
      </c>
      <c r="D31" s="346"/>
      <c r="E31" s="345"/>
      <c r="F31" s="346"/>
      <c r="G31" s="350"/>
    </row>
    <row r="32" spans="1:7" ht="15.75">
      <c r="A32" s="125"/>
      <c r="B32" s="127"/>
      <c r="C32" s="126"/>
      <c r="E32" s="333"/>
      <c r="F32" s="334"/>
      <c r="G32" s="334"/>
    </row>
    <row r="33" spans="5:7" ht="12.75">
      <c r="E33" s="333"/>
      <c r="F33" s="334"/>
      <c r="G33" s="334"/>
    </row>
  </sheetData>
  <sheetProtection selectLockedCells="1" selectUnlockedCells="1"/>
  <mergeCells count="1">
    <mergeCell ref="A1:G1"/>
  </mergeCells>
  <printOptions/>
  <pageMargins left="0.75" right="0.75" top="1" bottom="1" header="0.5118055555555555" footer="0.5118055555555555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3366FF"/>
  </sheetPr>
  <dimension ref="A1:AP32"/>
  <sheetViews>
    <sheetView zoomScale="130" zoomScaleNormal="130" zoomScalePageLayoutView="0" workbookViewId="0" topLeftCell="A2">
      <selection activeCell="AA20" sqref="AA20"/>
    </sheetView>
  </sheetViews>
  <sheetFormatPr defaultColWidth="9.140625" defaultRowHeight="12.75"/>
  <cols>
    <col min="1" max="1" width="2.140625" style="15" customWidth="1"/>
    <col min="2" max="2" width="25.00390625" style="15" customWidth="1"/>
    <col min="3" max="3" width="10.140625" style="37" customWidth="1"/>
    <col min="4" max="6" width="3.421875" style="37" customWidth="1"/>
    <col min="7" max="17" width="3.421875" style="17" customWidth="1"/>
    <col min="18" max="19" width="3.421875" style="15" customWidth="1"/>
    <col min="20" max="20" width="3.421875" style="38" customWidth="1"/>
    <col min="21" max="42" width="3.421875" style="15" customWidth="1"/>
    <col min="43" max="16384" width="9.140625" style="15" customWidth="1"/>
  </cols>
  <sheetData>
    <row r="1" spans="3:41" ht="21.75" customHeight="1">
      <c r="C1" s="18" t="s">
        <v>62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O1" s="38"/>
    </row>
    <row r="2" spans="2:41" s="20" customFormat="1" ht="68.25" customHeight="1">
      <c r="B2" s="21"/>
      <c r="C2" s="51" t="s">
        <v>63</v>
      </c>
      <c r="D2" s="183">
        <v>43015</v>
      </c>
      <c r="E2" s="183">
        <v>43013</v>
      </c>
      <c r="F2" s="183">
        <v>43006</v>
      </c>
      <c r="G2" s="183">
        <v>42999</v>
      </c>
      <c r="H2" s="183">
        <v>42992</v>
      </c>
      <c r="I2" s="183">
        <v>42985</v>
      </c>
      <c r="J2" s="183">
        <v>42981</v>
      </c>
      <c r="K2" s="183">
        <v>42980</v>
      </c>
      <c r="L2" s="183">
        <v>42978</v>
      </c>
      <c r="M2" s="183">
        <v>42971</v>
      </c>
      <c r="N2" s="183">
        <v>42964</v>
      </c>
      <c r="O2" s="183">
        <v>42957</v>
      </c>
      <c r="P2" s="183">
        <v>42950</v>
      </c>
      <c r="Q2" s="183">
        <v>42943</v>
      </c>
      <c r="R2" s="183">
        <v>42936</v>
      </c>
      <c r="S2" s="183">
        <v>42929</v>
      </c>
      <c r="T2" s="183">
        <v>42922</v>
      </c>
      <c r="U2" s="183">
        <v>42915</v>
      </c>
      <c r="V2" s="183">
        <v>42908</v>
      </c>
      <c r="W2" s="183">
        <v>42901</v>
      </c>
      <c r="X2" s="183">
        <v>42896</v>
      </c>
      <c r="Y2" s="348">
        <v>42894</v>
      </c>
      <c r="Z2" s="183">
        <v>42887</v>
      </c>
      <c r="AA2" s="183">
        <v>42880</v>
      </c>
      <c r="AB2" s="183">
        <v>42873</v>
      </c>
      <c r="AC2" s="183">
        <v>42866</v>
      </c>
      <c r="AD2" s="183">
        <v>42859</v>
      </c>
      <c r="AE2" s="183">
        <v>42852</v>
      </c>
      <c r="AF2" s="183">
        <v>42845</v>
      </c>
      <c r="AG2" s="183">
        <v>42838</v>
      </c>
      <c r="AH2" s="183">
        <v>42831</v>
      </c>
      <c r="AI2" s="183">
        <v>42824</v>
      </c>
      <c r="AJ2" s="185" t="s">
        <v>64</v>
      </c>
      <c r="AK2" s="185" t="s">
        <v>65</v>
      </c>
      <c r="AL2" s="185" t="s">
        <v>66</v>
      </c>
      <c r="AM2" s="185" t="s">
        <v>135</v>
      </c>
      <c r="AO2" s="41"/>
    </row>
    <row r="3" spans="2:41" ht="15.75">
      <c r="B3" s="152" t="s">
        <v>29</v>
      </c>
      <c r="C3" s="153">
        <f aca="true" t="shared" si="0" ref="C3:C27">(SUM(D3:AI3)+AK3*37)/AL3</f>
        <v>29.77777777777778</v>
      </c>
      <c r="D3" s="240">
        <v>31</v>
      </c>
      <c r="E3" s="240">
        <v>25</v>
      </c>
      <c r="F3" s="240">
        <v>26</v>
      </c>
      <c r="G3" s="406" t="s">
        <v>270</v>
      </c>
      <c r="H3" s="412"/>
      <c r="I3" s="406" t="s">
        <v>278</v>
      </c>
      <c r="J3" s="154">
        <v>32</v>
      </c>
      <c r="K3" s="240">
        <v>32</v>
      </c>
      <c r="L3" s="406" t="s">
        <v>278</v>
      </c>
      <c r="M3" s="154">
        <v>32</v>
      </c>
      <c r="N3" s="154">
        <v>31</v>
      </c>
      <c r="O3" s="240">
        <v>27</v>
      </c>
      <c r="P3" s="406" t="s">
        <v>265</v>
      </c>
      <c r="Q3" s="154">
        <v>30</v>
      </c>
      <c r="R3" s="406" t="s">
        <v>292</v>
      </c>
      <c r="S3" s="240">
        <v>30</v>
      </c>
      <c r="T3" s="154"/>
      <c r="U3" s="154">
        <v>29</v>
      </c>
      <c r="V3" s="240">
        <v>31</v>
      </c>
      <c r="W3" s="240">
        <v>30</v>
      </c>
      <c r="X3" s="154">
        <v>32</v>
      </c>
      <c r="Y3" s="154">
        <v>29</v>
      </c>
      <c r="Z3" s="154">
        <v>32</v>
      </c>
      <c r="AA3" s="154"/>
      <c r="AB3" s="154">
        <v>29</v>
      </c>
      <c r="AC3" s="406" t="s">
        <v>278</v>
      </c>
      <c r="AD3" s="406" t="s">
        <v>292</v>
      </c>
      <c r="AE3" s="406" t="s">
        <v>270</v>
      </c>
      <c r="AF3" s="406" t="s">
        <v>263</v>
      </c>
      <c r="AG3" s="240">
        <v>28</v>
      </c>
      <c r="AH3" s="406" t="s">
        <v>299</v>
      </c>
      <c r="AI3" s="413"/>
      <c r="AJ3" s="42">
        <f aca="true" t="shared" si="1" ref="AJ3:AJ27">COUNTIF(D3:AI3,"&gt;0")</f>
        <v>18</v>
      </c>
      <c r="AK3" s="43">
        <f aca="true" t="shared" si="2" ref="AK3:AK27">IF(AJ3&lt;19,18-AJ3,0)</f>
        <v>0</v>
      </c>
      <c r="AL3" s="43">
        <f aca="true" t="shared" si="3" ref="AL3:AL27">SUM(AJ3:AK3)</f>
        <v>18</v>
      </c>
      <c r="AM3" s="43">
        <f aca="true" t="shared" si="4" ref="AM3:AM27">LARGE(D3:AI3,1)</f>
        <v>32</v>
      </c>
      <c r="AN3" s="24"/>
      <c r="AO3" s="38" t="str">
        <f aca="true" t="shared" si="5" ref="AO3:AO27">IF(AJ3&gt;18,"OBS"," ")</f>
        <v> </v>
      </c>
    </row>
    <row r="4" spans="1:42" s="24" customFormat="1" ht="15.75">
      <c r="A4" s="25"/>
      <c r="B4" s="152" t="s">
        <v>39</v>
      </c>
      <c r="C4" s="153">
        <f t="shared" si="0"/>
        <v>30.5</v>
      </c>
      <c r="D4" s="406" t="s">
        <v>271</v>
      </c>
      <c r="E4" s="406" t="s">
        <v>265</v>
      </c>
      <c r="F4" s="406" t="s">
        <v>271</v>
      </c>
      <c r="G4" s="154">
        <v>27</v>
      </c>
      <c r="H4" s="412"/>
      <c r="I4" s="240">
        <v>30</v>
      </c>
      <c r="J4" s="240">
        <v>32</v>
      </c>
      <c r="K4" s="154">
        <v>32</v>
      </c>
      <c r="L4" s="406" t="s">
        <v>271</v>
      </c>
      <c r="M4" s="154">
        <v>27</v>
      </c>
      <c r="N4" s="154">
        <v>33</v>
      </c>
      <c r="O4" s="240">
        <v>27</v>
      </c>
      <c r="P4" s="154"/>
      <c r="Q4" s="154"/>
      <c r="R4" s="154">
        <v>27</v>
      </c>
      <c r="S4" s="154">
        <v>31</v>
      </c>
      <c r="T4" s="154">
        <v>35</v>
      </c>
      <c r="U4" s="154">
        <v>28</v>
      </c>
      <c r="V4" s="154">
        <v>28</v>
      </c>
      <c r="W4" s="154">
        <v>31</v>
      </c>
      <c r="X4" s="406" t="s">
        <v>263</v>
      </c>
      <c r="Y4" s="406" t="s">
        <v>265</v>
      </c>
      <c r="Z4" s="154">
        <v>33</v>
      </c>
      <c r="AA4" s="154">
        <v>32</v>
      </c>
      <c r="AB4" s="406" t="s">
        <v>270</v>
      </c>
      <c r="AC4" s="406" t="s">
        <v>265</v>
      </c>
      <c r="AD4" s="406" t="s">
        <v>270</v>
      </c>
      <c r="AE4" s="406" t="s">
        <v>270</v>
      </c>
      <c r="AF4" s="154">
        <v>32</v>
      </c>
      <c r="AG4" s="240">
        <v>30</v>
      </c>
      <c r="AH4" s="154">
        <v>34</v>
      </c>
      <c r="AI4" s="413"/>
      <c r="AJ4" s="42">
        <f t="shared" si="1"/>
        <v>18</v>
      </c>
      <c r="AK4" s="43">
        <f t="shared" si="2"/>
        <v>0</v>
      </c>
      <c r="AL4" s="43">
        <f t="shared" si="3"/>
        <v>18</v>
      </c>
      <c r="AM4" s="43">
        <f t="shared" si="4"/>
        <v>35</v>
      </c>
      <c r="AN4" s="15"/>
      <c r="AO4" s="38" t="str">
        <f t="shared" si="5"/>
        <v> </v>
      </c>
      <c r="AP4" s="15"/>
    </row>
    <row r="5" spans="2:41" ht="15.75">
      <c r="B5" s="152" t="s">
        <v>31</v>
      </c>
      <c r="C5" s="153">
        <f t="shared" si="0"/>
        <v>31.11111111111111</v>
      </c>
      <c r="D5" s="240">
        <v>28</v>
      </c>
      <c r="E5" s="240">
        <v>28</v>
      </c>
      <c r="F5" s="240"/>
      <c r="G5" s="406" t="s">
        <v>271</v>
      </c>
      <c r="H5" s="412"/>
      <c r="I5" s="406" t="s">
        <v>270</v>
      </c>
      <c r="J5" s="240">
        <v>34</v>
      </c>
      <c r="K5" s="406" t="s">
        <v>271</v>
      </c>
      <c r="L5" s="154"/>
      <c r="M5" s="154">
        <v>31</v>
      </c>
      <c r="N5" s="240">
        <v>33</v>
      </c>
      <c r="O5" s="240">
        <v>31</v>
      </c>
      <c r="P5" s="406" t="s">
        <v>278</v>
      </c>
      <c r="Q5" s="406" t="s">
        <v>263</v>
      </c>
      <c r="R5" s="240">
        <v>33</v>
      </c>
      <c r="S5" s="240">
        <v>31</v>
      </c>
      <c r="T5" s="154">
        <v>31</v>
      </c>
      <c r="U5" s="154">
        <v>31</v>
      </c>
      <c r="V5" s="154"/>
      <c r="W5" s="154">
        <v>30</v>
      </c>
      <c r="X5" s="154">
        <v>29</v>
      </c>
      <c r="Y5" s="154">
        <v>30</v>
      </c>
      <c r="Z5" s="240">
        <v>33</v>
      </c>
      <c r="AA5" s="154"/>
      <c r="AB5" s="406" t="s">
        <v>265</v>
      </c>
      <c r="AC5" s="240">
        <v>30</v>
      </c>
      <c r="AD5" s="240">
        <v>33</v>
      </c>
      <c r="AE5" s="154">
        <v>31</v>
      </c>
      <c r="AF5" s="406" t="s">
        <v>270</v>
      </c>
      <c r="AG5" s="240">
        <v>33</v>
      </c>
      <c r="AH5" s="406" t="s">
        <v>278</v>
      </c>
      <c r="AI5" s="413"/>
      <c r="AJ5" s="42">
        <f t="shared" si="1"/>
        <v>18</v>
      </c>
      <c r="AK5" s="43">
        <f t="shared" si="2"/>
        <v>0</v>
      </c>
      <c r="AL5" s="43">
        <f t="shared" si="3"/>
        <v>18</v>
      </c>
      <c r="AM5" s="43">
        <f t="shared" si="4"/>
        <v>34</v>
      </c>
      <c r="AO5" s="38" t="str">
        <f t="shared" si="5"/>
        <v> </v>
      </c>
    </row>
    <row r="6" spans="1:42" s="25" customFormat="1" ht="15.75">
      <c r="A6" s="15"/>
      <c r="B6" s="152" t="s">
        <v>49</v>
      </c>
      <c r="C6" s="153">
        <f t="shared" si="0"/>
        <v>31.555555555555557</v>
      </c>
      <c r="D6" s="154">
        <v>34</v>
      </c>
      <c r="E6" s="154"/>
      <c r="F6" s="240">
        <v>31</v>
      </c>
      <c r="G6" s="240"/>
      <c r="H6" s="413"/>
      <c r="I6" s="240"/>
      <c r="J6" s="240">
        <v>29</v>
      </c>
      <c r="K6" s="240">
        <v>32</v>
      </c>
      <c r="L6" s="154">
        <v>29</v>
      </c>
      <c r="M6" s="154">
        <v>37</v>
      </c>
      <c r="N6" s="154">
        <v>28</v>
      </c>
      <c r="O6" s="154"/>
      <c r="P6" s="240"/>
      <c r="Q6" s="154">
        <v>34</v>
      </c>
      <c r="R6" s="154">
        <v>26</v>
      </c>
      <c r="S6" s="240">
        <v>28</v>
      </c>
      <c r="T6" s="154">
        <v>35</v>
      </c>
      <c r="U6" s="240"/>
      <c r="V6" s="154"/>
      <c r="W6" s="154">
        <v>32</v>
      </c>
      <c r="X6" s="240">
        <v>29</v>
      </c>
      <c r="Y6" s="240"/>
      <c r="Z6" s="240">
        <v>30</v>
      </c>
      <c r="AA6" s="240">
        <v>34</v>
      </c>
      <c r="AB6" s="240">
        <v>33</v>
      </c>
      <c r="AC6" s="154">
        <v>29</v>
      </c>
      <c r="AD6" s="154"/>
      <c r="AE6" s="154">
        <v>38</v>
      </c>
      <c r="AF6" s="154"/>
      <c r="AG6" s="240"/>
      <c r="AH6" s="406" t="s">
        <v>272</v>
      </c>
      <c r="AI6" s="413"/>
      <c r="AJ6" s="42">
        <f t="shared" si="1"/>
        <v>18</v>
      </c>
      <c r="AK6" s="43">
        <f t="shared" si="2"/>
        <v>0</v>
      </c>
      <c r="AL6" s="43">
        <f t="shared" si="3"/>
        <v>18</v>
      </c>
      <c r="AM6" s="43">
        <f t="shared" si="4"/>
        <v>38</v>
      </c>
      <c r="AN6" s="15"/>
      <c r="AO6" s="38" t="str">
        <f t="shared" si="5"/>
        <v> </v>
      </c>
      <c r="AP6" s="15"/>
    </row>
    <row r="7" spans="1:42" s="25" customFormat="1" ht="15.75">
      <c r="A7" s="15"/>
      <c r="B7" s="152" t="s">
        <v>19</v>
      </c>
      <c r="C7" s="153">
        <f t="shared" si="0"/>
        <v>32.05555555555556</v>
      </c>
      <c r="D7" s="240"/>
      <c r="E7" s="154"/>
      <c r="F7" s="154">
        <v>36</v>
      </c>
      <c r="G7" s="240">
        <v>35</v>
      </c>
      <c r="H7" s="412"/>
      <c r="I7" s="406" t="s">
        <v>271</v>
      </c>
      <c r="J7" s="406" t="s">
        <v>272</v>
      </c>
      <c r="K7" s="154">
        <v>32</v>
      </c>
      <c r="L7" s="240">
        <v>26</v>
      </c>
      <c r="M7" s="406" t="s">
        <v>265</v>
      </c>
      <c r="N7" s="406" t="s">
        <v>265</v>
      </c>
      <c r="O7" s="154">
        <v>34</v>
      </c>
      <c r="P7" s="154">
        <v>34</v>
      </c>
      <c r="Q7" s="154">
        <v>29</v>
      </c>
      <c r="R7" s="240">
        <v>30</v>
      </c>
      <c r="S7" s="240">
        <v>33</v>
      </c>
      <c r="T7" s="154">
        <v>32</v>
      </c>
      <c r="U7" s="240">
        <v>35</v>
      </c>
      <c r="V7" s="240"/>
      <c r="W7" s="154">
        <v>32</v>
      </c>
      <c r="X7" s="154">
        <v>33</v>
      </c>
      <c r="Y7" s="240">
        <v>29</v>
      </c>
      <c r="Z7" s="240"/>
      <c r="AA7" s="240"/>
      <c r="AB7" s="154">
        <v>31</v>
      </c>
      <c r="AC7" s="240">
        <v>35</v>
      </c>
      <c r="AD7" s="240">
        <v>33</v>
      </c>
      <c r="AE7" s="240"/>
      <c r="AF7" s="406" t="s">
        <v>271</v>
      </c>
      <c r="AG7" s="240">
        <v>28</v>
      </c>
      <c r="AH7" s="406" t="s">
        <v>272</v>
      </c>
      <c r="AI7" s="413"/>
      <c r="AJ7" s="42">
        <f t="shared" si="1"/>
        <v>18</v>
      </c>
      <c r="AK7" s="43">
        <f t="shared" si="2"/>
        <v>0</v>
      </c>
      <c r="AL7" s="43">
        <f t="shared" si="3"/>
        <v>18</v>
      </c>
      <c r="AM7" s="43">
        <f t="shared" si="4"/>
        <v>36</v>
      </c>
      <c r="AN7" s="15"/>
      <c r="AO7" s="38" t="str">
        <f t="shared" si="5"/>
        <v> </v>
      </c>
      <c r="AP7" s="15"/>
    </row>
    <row r="8" spans="1:42" s="25" customFormat="1" ht="15.75">
      <c r="A8" s="15"/>
      <c r="B8" s="152" t="s">
        <v>11</v>
      </c>
      <c r="C8" s="153">
        <f t="shared" si="0"/>
        <v>32.22222222222222</v>
      </c>
      <c r="D8" s="154">
        <v>33</v>
      </c>
      <c r="E8" s="240">
        <v>34</v>
      </c>
      <c r="F8" s="154"/>
      <c r="G8" s="154">
        <v>30</v>
      </c>
      <c r="H8" s="412"/>
      <c r="I8" s="240">
        <v>35</v>
      </c>
      <c r="J8" s="240">
        <v>34</v>
      </c>
      <c r="K8" s="240">
        <v>32</v>
      </c>
      <c r="L8" s="240"/>
      <c r="M8" s="240">
        <v>32</v>
      </c>
      <c r="N8" s="154"/>
      <c r="O8" s="154">
        <v>32</v>
      </c>
      <c r="P8" s="240">
        <v>34</v>
      </c>
      <c r="Q8" s="240">
        <v>35</v>
      </c>
      <c r="R8" s="154"/>
      <c r="S8" s="154"/>
      <c r="T8" s="154"/>
      <c r="U8" s="240">
        <v>31</v>
      </c>
      <c r="V8" s="406" t="s">
        <v>272</v>
      </c>
      <c r="W8" s="240">
        <v>33</v>
      </c>
      <c r="X8" s="240">
        <v>26</v>
      </c>
      <c r="Y8" s="240">
        <v>34</v>
      </c>
      <c r="Z8" s="154"/>
      <c r="AA8" s="240"/>
      <c r="AB8" s="154">
        <v>31</v>
      </c>
      <c r="AC8" s="240">
        <v>30</v>
      </c>
      <c r="AD8" s="154"/>
      <c r="AE8" s="154">
        <v>34</v>
      </c>
      <c r="AF8" s="154">
        <v>30</v>
      </c>
      <c r="AG8" s="240"/>
      <c r="AH8" s="406" t="s">
        <v>263</v>
      </c>
      <c r="AI8" s="413"/>
      <c r="AJ8" s="42">
        <f t="shared" si="1"/>
        <v>18</v>
      </c>
      <c r="AK8" s="43">
        <f t="shared" si="2"/>
        <v>0</v>
      </c>
      <c r="AL8" s="43">
        <f t="shared" si="3"/>
        <v>18</v>
      </c>
      <c r="AM8" s="43">
        <f t="shared" si="4"/>
        <v>35</v>
      </c>
      <c r="AN8" s="15"/>
      <c r="AO8" s="38" t="str">
        <f t="shared" si="5"/>
        <v> </v>
      </c>
      <c r="AP8" s="15"/>
    </row>
    <row r="9" spans="2:41" ht="15.75">
      <c r="B9" s="152" t="s">
        <v>149</v>
      </c>
      <c r="C9" s="153">
        <f t="shared" si="0"/>
        <v>32.666666666666664</v>
      </c>
      <c r="D9" s="154"/>
      <c r="E9" s="154">
        <v>34</v>
      </c>
      <c r="F9" s="154">
        <v>32</v>
      </c>
      <c r="G9" s="154"/>
      <c r="H9" s="412"/>
      <c r="I9" s="154">
        <v>30</v>
      </c>
      <c r="J9" s="154"/>
      <c r="K9" s="154"/>
      <c r="L9" s="154"/>
      <c r="M9" s="154"/>
      <c r="N9" s="154"/>
      <c r="O9" s="154"/>
      <c r="P9" s="154"/>
      <c r="Q9" s="154">
        <v>29</v>
      </c>
      <c r="R9" s="154"/>
      <c r="S9" s="154"/>
      <c r="T9" s="154"/>
      <c r="U9" s="154">
        <v>34</v>
      </c>
      <c r="V9" s="154">
        <v>30</v>
      </c>
      <c r="W9" s="154">
        <v>30</v>
      </c>
      <c r="X9" s="154"/>
      <c r="Y9" s="154"/>
      <c r="Z9" s="154"/>
      <c r="AA9" s="154">
        <v>32</v>
      </c>
      <c r="AB9" s="154">
        <v>28</v>
      </c>
      <c r="AC9" s="154">
        <v>27</v>
      </c>
      <c r="AD9" s="154"/>
      <c r="AE9" s="154"/>
      <c r="AF9" s="154">
        <v>33</v>
      </c>
      <c r="AG9" s="154">
        <v>28</v>
      </c>
      <c r="AH9" s="154">
        <v>36</v>
      </c>
      <c r="AI9" s="412"/>
      <c r="AJ9" s="42">
        <f t="shared" si="1"/>
        <v>13</v>
      </c>
      <c r="AK9" s="43">
        <f t="shared" si="2"/>
        <v>5</v>
      </c>
      <c r="AL9" s="43">
        <f t="shared" si="3"/>
        <v>18</v>
      </c>
      <c r="AM9" s="43">
        <f t="shared" si="4"/>
        <v>36</v>
      </c>
      <c r="AO9" s="38" t="str">
        <f t="shared" si="5"/>
        <v> </v>
      </c>
    </row>
    <row r="10" spans="2:41" ht="15.75">
      <c r="B10" s="152" t="s">
        <v>13</v>
      </c>
      <c r="C10" s="153">
        <f t="shared" si="0"/>
        <v>32.666666666666664</v>
      </c>
      <c r="D10" s="240">
        <v>33</v>
      </c>
      <c r="E10" s="154"/>
      <c r="F10" s="154">
        <v>28</v>
      </c>
      <c r="G10" s="154">
        <v>32</v>
      </c>
      <c r="H10" s="412"/>
      <c r="I10" s="240">
        <v>29</v>
      </c>
      <c r="J10" s="240"/>
      <c r="K10" s="240"/>
      <c r="L10" s="240"/>
      <c r="M10" s="154">
        <v>31</v>
      </c>
      <c r="N10" s="154">
        <v>32</v>
      </c>
      <c r="O10" s="240">
        <v>28</v>
      </c>
      <c r="P10" s="240">
        <v>33</v>
      </c>
      <c r="Q10" s="240"/>
      <c r="R10" s="154"/>
      <c r="S10" s="240"/>
      <c r="T10" s="154"/>
      <c r="U10" s="154"/>
      <c r="V10" s="240">
        <v>30</v>
      </c>
      <c r="W10" s="154">
        <v>31</v>
      </c>
      <c r="X10" s="240">
        <v>35</v>
      </c>
      <c r="Y10" s="154">
        <v>33</v>
      </c>
      <c r="Z10" s="154"/>
      <c r="AA10" s="154">
        <v>35</v>
      </c>
      <c r="AB10" s="154">
        <v>35</v>
      </c>
      <c r="AC10" s="154"/>
      <c r="AD10" s="154">
        <v>30</v>
      </c>
      <c r="AE10" s="240">
        <v>39</v>
      </c>
      <c r="AF10" s="154"/>
      <c r="AG10" s="154"/>
      <c r="AH10" s="240">
        <v>37</v>
      </c>
      <c r="AI10" s="412"/>
      <c r="AJ10" s="42">
        <f t="shared" si="1"/>
        <v>17</v>
      </c>
      <c r="AK10" s="43">
        <f t="shared" si="2"/>
        <v>1</v>
      </c>
      <c r="AL10" s="43">
        <f t="shared" si="3"/>
        <v>18</v>
      </c>
      <c r="AM10" s="43">
        <f t="shared" si="4"/>
        <v>39</v>
      </c>
      <c r="AO10" s="38" t="str">
        <f t="shared" si="5"/>
        <v> </v>
      </c>
    </row>
    <row r="11" spans="1:41" ht="15.75">
      <c r="A11" s="24"/>
      <c r="B11" s="152" t="s">
        <v>23</v>
      </c>
      <c r="C11" s="153">
        <f t="shared" si="0"/>
        <v>32.888888888888886</v>
      </c>
      <c r="D11" s="154">
        <v>32</v>
      </c>
      <c r="E11" s="154">
        <v>28</v>
      </c>
      <c r="F11" s="154">
        <v>34</v>
      </c>
      <c r="G11" s="154">
        <v>38</v>
      </c>
      <c r="H11" s="412"/>
      <c r="I11" s="154">
        <v>34</v>
      </c>
      <c r="J11" s="154">
        <v>34</v>
      </c>
      <c r="K11" s="154">
        <v>35</v>
      </c>
      <c r="L11" s="154">
        <v>30</v>
      </c>
      <c r="M11" s="154">
        <v>30</v>
      </c>
      <c r="N11" s="154"/>
      <c r="O11" s="154">
        <v>33</v>
      </c>
      <c r="P11" s="154">
        <v>31</v>
      </c>
      <c r="Q11" s="154"/>
      <c r="R11" s="154"/>
      <c r="S11" s="154"/>
      <c r="T11" s="154">
        <v>34</v>
      </c>
      <c r="U11" s="154">
        <v>39</v>
      </c>
      <c r="V11" s="154"/>
      <c r="W11" s="154">
        <v>30</v>
      </c>
      <c r="X11" s="154"/>
      <c r="Y11" s="154">
        <v>34</v>
      </c>
      <c r="Z11" s="154">
        <v>38</v>
      </c>
      <c r="AA11" s="154"/>
      <c r="AB11" s="406" t="s">
        <v>263</v>
      </c>
      <c r="AC11" s="154">
        <v>27</v>
      </c>
      <c r="AD11" s="154">
        <v>31</v>
      </c>
      <c r="AE11" s="154"/>
      <c r="AF11" s="154"/>
      <c r="AG11" s="154"/>
      <c r="AH11" s="154"/>
      <c r="AI11" s="412"/>
      <c r="AJ11" s="42">
        <f t="shared" si="1"/>
        <v>18</v>
      </c>
      <c r="AK11" s="43">
        <f t="shared" si="2"/>
        <v>0</v>
      </c>
      <c r="AL11" s="43">
        <f t="shared" si="3"/>
        <v>18</v>
      </c>
      <c r="AM11" s="43">
        <f t="shared" si="4"/>
        <v>39</v>
      </c>
      <c r="AO11" s="38" t="str">
        <f t="shared" si="5"/>
        <v> </v>
      </c>
    </row>
    <row r="12" spans="2:41" ht="15.75">
      <c r="B12" s="152" t="s">
        <v>200</v>
      </c>
      <c r="C12" s="153">
        <f t="shared" si="0"/>
        <v>33.22222222222222</v>
      </c>
      <c r="D12" s="154">
        <v>35</v>
      </c>
      <c r="E12" s="154">
        <v>33</v>
      </c>
      <c r="F12" s="154">
        <v>24</v>
      </c>
      <c r="G12" s="154">
        <v>33</v>
      </c>
      <c r="H12" s="412"/>
      <c r="I12" s="154"/>
      <c r="J12" s="154">
        <v>33</v>
      </c>
      <c r="K12" s="154">
        <v>37</v>
      </c>
      <c r="L12" s="154">
        <v>33</v>
      </c>
      <c r="M12" s="154">
        <v>37</v>
      </c>
      <c r="N12" s="154">
        <v>29</v>
      </c>
      <c r="O12" s="154">
        <v>31</v>
      </c>
      <c r="P12" s="406" t="s">
        <v>272</v>
      </c>
      <c r="Q12" s="406" t="s">
        <v>263</v>
      </c>
      <c r="R12" s="154">
        <v>31</v>
      </c>
      <c r="S12" s="154">
        <v>37</v>
      </c>
      <c r="T12" s="154">
        <v>35</v>
      </c>
      <c r="U12" s="406" t="s">
        <v>164</v>
      </c>
      <c r="V12" s="154">
        <v>32</v>
      </c>
      <c r="W12" s="154"/>
      <c r="X12" s="406" t="s">
        <v>261</v>
      </c>
      <c r="Y12" s="154">
        <v>36</v>
      </c>
      <c r="Z12" s="154"/>
      <c r="AA12" s="154">
        <v>33</v>
      </c>
      <c r="AB12" s="154"/>
      <c r="AC12" s="154">
        <v>36</v>
      </c>
      <c r="AD12" s="406" t="s">
        <v>272</v>
      </c>
      <c r="AE12" s="406" t="s">
        <v>272</v>
      </c>
      <c r="AF12" s="154">
        <v>33</v>
      </c>
      <c r="AG12" s="406" t="s">
        <v>272</v>
      </c>
      <c r="AH12" s="406" t="s">
        <v>271</v>
      </c>
      <c r="AI12" s="412"/>
      <c r="AJ12" s="42">
        <f t="shared" si="1"/>
        <v>18</v>
      </c>
      <c r="AK12" s="43">
        <f t="shared" si="2"/>
        <v>0</v>
      </c>
      <c r="AL12" s="43">
        <f t="shared" si="3"/>
        <v>18</v>
      </c>
      <c r="AM12" s="43">
        <f t="shared" si="4"/>
        <v>37</v>
      </c>
      <c r="AO12" s="38" t="str">
        <f t="shared" si="5"/>
        <v> </v>
      </c>
    </row>
    <row r="13" spans="2:41" ht="15.75">
      <c r="B13" s="152" t="s">
        <v>35</v>
      </c>
      <c r="C13" s="153">
        <f t="shared" si="0"/>
        <v>33.44444444444444</v>
      </c>
      <c r="D13" s="154">
        <v>35</v>
      </c>
      <c r="E13" s="240">
        <v>36</v>
      </c>
      <c r="F13" s="240">
        <v>35</v>
      </c>
      <c r="G13" s="154">
        <v>32</v>
      </c>
      <c r="H13" s="412"/>
      <c r="I13" s="406" t="s">
        <v>265</v>
      </c>
      <c r="J13" s="154">
        <v>36</v>
      </c>
      <c r="K13" s="154">
        <v>34</v>
      </c>
      <c r="L13" s="154">
        <v>35</v>
      </c>
      <c r="M13" s="154"/>
      <c r="N13" s="154">
        <v>35</v>
      </c>
      <c r="O13" s="154">
        <v>34</v>
      </c>
      <c r="P13" s="406" t="s">
        <v>265</v>
      </c>
      <c r="Q13" s="240">
        <v>34</v>
      </c>
      <c r="R13" s="406" t="s">
        <v>261</v>
      </c>
      <c r="S13" s="406" t="s">
        <v>265</v>
      </c>
      <c r="T13" s="154">
        <v>32</v>
      </c>
      <c r="U13" s="154">
        <v>29</v>
      </c>
      <c r="V13" s="406" t="s">
        <v>265</v>
      </c>
      <c r="W13" s="154"/>
      <c r="X13" s="406" t="s">
        <v>265</v>
      </c>
      <c r="Y13" s="240">
        <v>34</v>
      </c>
      <c r="Z13" s="240">
        <v>32</v>
      </c>
      <c r="AA13" s="240">
        <v>34</v>
      </c>
      <c r="AB13" s="154">
        <v>32</v>
      </c>
      <c r="AC13" s="154">
        <v>29</v>
      </c>
      <c r="AD13" s="406" t="s">
        <v>272</v>
      </c>
      <c r="AE13" s="406" t="s">
        <v>272</v>
      </c>
      <c r="AF13" s="406" t="s">
        <v>271</v>
      </c>
      <c r="AG13" s="240">
        <v>34</v>
      </c>
      <c r="AH13" s="406" t="s">
        <v>261</v>
      </c>
      <c r="AI13" s="413"/>
      <c r="AJ13" s="42">
        <f t="shared" si="1"/>
        <v>18</v>
      </c>
      <c r="AK13" s="43">
        <f t="shared" si="2"/>
        <v>0</v>
      </c>
      <c r="AL13" s="43">
        <f t="shared" si="3"/>
        <v>18</v>
      </c>
      <c r="AM13" s="43">
        <f t="shared" si="4"/>
        <v>36</v>
      </c>
      <c r="AO13" s="38" t="str">
        <f t="shared" si="5"/>
        <v> </v>
      </c>
    </row>
    <row r="14" spans="1:41" ht="15.75">
      <c r="A14" s="25"/>
      <c r="B14" s="152" t="s">
        <v>43</v>
      </c>
      <c r="C14" s="153">
        <f t="shared" si="0"/>
        <v>33.77777777777778</v>
      </c>
      <c r="D14" s="406" t="s">
        <v>272</v>
      </c>
      <c r="E14" s="406" t="s">
        <v>164</v>
      </c>
      <c r="F14" s="154">
        <v>36</v>
      </c>
      <c r="G14" s="154">
        <v>33</v>
      </c>
      <c r="H14" s="412"/>
      <c r="I14" s="406" t="s">
        <v>266</v>
      </c>
      <c r="J14" s="154">
        <v>33</v>
      </c>
      <c r="K14" s="154">
        <v>37</v>
      </c>
      <c r="L14" s="240">
        <v>31</v>
      </c>
      <c r="M14" s="154">
        <v>37</v>
      </c>
      <c r="N14" s="154">
        <v>35</v>
      </c>
      <c r="O14" s="240">
        <v>30</v>
      </c>
      <c r="P14" s="154">
        <v>35</v>
      </c>
      <c r="Q14" s="406" t="s">
        <v>266</v>
      </c>
      <c r="R14" s="406" t="s">
        <v>263</v>
      </c>
      <c r="S14" s="240">
        <v>33</v>
      </c>
      <c r="T14" s="154">
        <v>34</v>
      </c>
      <c r="U14" s="406" t="s">
        <v>271</v>
      </c>
      <c r="V14" s="154"/>
      <c r="W14" s="240">
        <v>31</v>
      </c>
      <c r="X14" s="240">
        <v>31</v>
      </c>
      <c r="Y14" s="240">
        <v>35</v>
      </c>
      <c r="Z14" s="406" t="s">
        <v>271</v>
      </c>
      <c r="AA14" s="240"/>
      <c r="AB14" s="240">
        <v>33</v>
      </c>
      <c r="AC14" s="240">
        <v>34</v>
      </c>
      <c r="AD14" s="406" t="s">
        <v>261</v>
      </c>
      <c r="AE14" s="154">
        <v>35</v>
      </c>
      <c r="AF14" s="240">
        <v>35</v>
      </c>
      <c r="AG14" s="240"/>
      <c r="AH14" s="406" t="s">
        <v>263</v>
      </c>
      <c r="AI14" s="413"/>
      <c r="AJ14" s="42">
        <f t="shared" si="1"/>
        <v>18</v>
      </c>
      <c r="AK14" s="43">
        <f t="shared" si="2"/>
        <v>0</v>
      </c>
      <c r="AL14" s="43">
        <f t="shared" si="3"/>
        <v>18</v>
      </c>
      <c r="AM14" s="43">
        <f t="shared" si="4"/>
        <v>37</v>
      </c>
      <c r="AN14" s="25"/>
      <c r="AO14" s="38" t="str">
        <f t="shared" si="5"/>
        <v> </v>
      </c>
    </row>
    <row r="15" spans="2:42" s="25" customFormat="1" ht="15.75">
      <c r="B15" s="152" t="s">
        <v>15</v>
      </c>
      <c r="C15" s="153">
        <f t="shared" si="0"/>
        <v>33.888888888888886</v>
      </c>
      <c r="D15" s="240"/>
      <c r="E15" s="240"/>
      <c r="F15" s="240">
        <v>29</v>
      </c>
      <c r="G15" s="240">
        <v>30</v>
      </c>
      <c r="H15" s="413"/>
      <c r="I15" s="240">
        <v>35</v>
      </c>
      <c r="J15" s="240">
        <v>33</v>
      </c>
      <c r="K15" s="240"/>
      <c r="L15" s="240">
        <v>33</v>
      </c>
      <c r="M15" s="240"/>
      <c r="N15" s="154"/>
      <c r="O15" s="240">
        <v>31</v>
      </c>
      <c r="P15" s="154"/>
      <c r="Q15" s="154">
        <v>37</v>
      </c>
      <c r="R15" s="154"/>
      <c r="S15" s="154">
        <v>35</v>
      </c>
      <c r="T15" s="154"/>
      <c r="U15" s="154"/>
      <c r="V15" s="240">
        <v>31</v>
      </c>
      <c r="W15" s="154"/>
      <c r="X15" s="240">
        <v>32</v>
      </c>
      <c r="Y15" s="154"/>
      <c r="Z15" s="154">
        <v>34</v>
      </c>
      <c r="AA15" s="154">
        <v>30</v>
      </c>
      <c r="AB15" s="154"/>
      <c r="AC15" s="154"/>
      <c r="AD15" s="154">
        <v>35</v>
      </c>
      <c r="AE15" s="154"/>
      <c r="AF15" s="154"/>
      <c r="AG15" s="154"/>
      <c r="AH15" s="154"/>
      <c r="AI15" s="412"/>
      <c r="AJ15" s="42">
        <f t="shared" si="1"/>
        <v>13</v>
      </c>
      <c r="AK15" s="43">
        <f t="shared" si="2"/>
        <v>5</v>
      </c>
      <c r="AL15" s="43">
        <f t="shared" si="3"/>
        <v>18</v>
      </c>
      <c r="AM15" s="43">
        <f t="shared" si="4"/>
        <v>37</v>
      </c>
      <c r="AN15" s="15"/>
      <c r="AO15" s="38" t="str">
        <f t="shared" si="5"/>
        <v> </v>
      </c>
      <c r="AP15" s="15"/>
    </row>
    <row r="16" spans="2:41" ht="15.75">
      <c r="B16" s="152" t="s">
        <v>45</v>
      </c>
      <c r="C16" s="153">
        <f t="shared" si="0"/>
        <v>34.22222222222222</v>
      </c>
      <c r="D16" s="154"/>
      <c r="E16" s="154"/>
      <c r="F16" s="154"/>
      <c r="G16" s="154"/>
      <c r="H16" s="412"/>
      <c r="I16" s="154">
        <v>30</v>
      </c>
      <c r="J16" s="154">
        <v>31</v>
      </c>
      <c r="K16" s="154">
        <v>32</v>
      </c>
      <c r="L16" s="154">
        <v>31</v>
      </c>
      <c r="M16" s="240">
        <v>36</v>
      </c>
      <c r="N16" s="154">
        <v>37</v>
      </c>
      <c r="O16" s="154">
        <v>31</v>
      </c>
      <c r="P16" s="154"/>
      <c r="Q16" s="154"/>
      <c r="R16" s="154"/>
      <c r="S16" s="154"/>
      <c r="T16" s="154">
        <v>37</v>
      </c>
      <c r="U16" s="154">
        <v>34</v>
      </c>
      <c r="V16" s="154">
        <v>36</v>
      </c>
      <c r="W16" s="154">
        <v>30</v>
      </c>
      <c r="X16" s="154">
        <v>39</v>
      </c>
      <c r="Y16" s="154">
        <v>35</v>
      </c>
      <c r="Z16" s="154">
        <v>33</v>
      </c>
      <c r="AA16" s="406" t="s">
        <v>266</v>
      </c>
      <c r="AB16" s="154"/>
      <c r="AC16" s="154"/>
      <c r="AD16" s="154">
        <v>37</v>
      </c>
      <c r="AE16" s="240">
        <v>34</v>
      </c>
      <c r="AF16" s="154">
        <v>34</v>
      </c>
      <c r="AG16" s="154"/>
      <c r="AH16" s="154">
        <v>39</v>
      </c>
      <c r="AI16" s="412"/>
      <c r="AJ16" s="42">
        <f t="shared" si="1"/>
        <v>18</v>
      </c>
      <c r="AK16" s="43">
        <f t="shared" si="2"/>
        <v>0</v>
      </c>
      <c r="AL16" s="43">
        <f t="shared" si="3"/>
        <v>18</v>
      </c>
      <c r="AM16" s="43">
        <f t="shared" si="4"/>
        <v>39</v>
      </c>
      <c r="AO16" s="38" t="str">
        <f t="shared" si="5"/>
        <v> </v>
      </c>
    </row>
    <row r="17" spans="2:41" ht="15.75">
      <c r="B17" s="152" t="s">
        <v>53</v>
      </c>
      <c r="C17" s="153">
        <f t="shared" si="0"/>
        <v>34.44444444444444</v>
      </c>
      <c r="D17" s="154"/>
      <c r="E17" s="154"/>
      <c r="F17" s="154"/>
      <c r="G17" s="154">
        <v>30</v>
      </c>
      <c r="H17" s="412"/>
      <c r="I17" s="154"/>
      <c r="J17" s="154"/>
      <c r="K17" s="154"/>
      <c r="L17" s="154"/>
      <c r="M17" s="154">
        <v>35</v>
      </c>
      <c r="N17" s="154"/>
      <c r="O17" s="154">
        <v>30</v>
      </c>
      <c r="P17" s="154"/>
      <c r="Q17" s="154">
        <v>36</v>
      </c>
      <c r="R17" s="154"/>
      <c r="S17" s="154">
        <v>32</v>
      </c>
      <c r="T17" s="154"/>
      <c r="U17" s="154"/>
      <c r="V17" s="154"/>
      <c r="W17" s="154">
        <v>28</v>
      </c>
      <c r="X17" s="154"/>
      <c r="Y17" s="154"/>
      <c r="Z17" s="154">
        <v>32</v>
      </c>
      <c r="AA17" s="154"/>
      <c r="AB17" s="154">
        <v>33</v>
      </c>
      <c r="AC17" s="154">
        <v>31</v>
      </c>
      <c r="AD17" s="154"/>
      <c r="AE17" s="154"/>
      <c r="AF17" s="154">
        <v>37</v>
      </c>
      <c r="AG17" s="154"/>
      <c r="AH17" s="154"/>
      <c r="AI17" s="412"/>
      <c r="AJ17" s="42">
        <f t="shared" si="1"/>
        <v>10</v>
      </c>
      <c r="AK17" s="43">
        <f t="shared" si="2"/>
        <v>8</v>
      </c>
      <c r="AL17" s="43">
        <f t="shared" si="3"/>
        <v>18</v>
      </c>
      <c r="AM17" s="43">
        <f t="shared" si="4"/>
        <v>37</v>
      </c>
      <c r="AO17" s="38" t="str">
        <f t="shared" si="5"/>
        <v> </v>
      </c>
    </row>
    <row r="18" spans="2:41" ht="15.75">
      <c r="B18" s="152" t="s">
        <v>37</v>
      </c>
      <c r="C18" s="153">
        <f t="shared" si="0"/>
        <v>35.05555555555556</v>
      </c>
      <c r="D18" s="154">
        <v>34</v>
      </c>
      <c r="E18" s="154"/>
      <c r="F18" s="154">
        <v>35</v>
      </c>
      <c r="G18" s="154">
        <v>28</v>
      </c>
      <c r="H18" s="413"/>
      <c r="I18" s="154">
        <v>37</v>
      </c>
      <c r="J18" s="154">
        <v>31</v>
      </c>
      <c r="K18" s="154">
        <v>37</v>
      </c>
      <c r="L18" s="154">
        <v>37</v>
      </c>
      <c r="M18" s="154">
        <v>39</v>
      </c>
      <c r="N18" s="154">
        <v>38</v>
      </c>
      <c r="O18" s="154">
        <v>33</v>
      </c>
      <c r="P18" s="154">
        <v>35</v>
      </c>
      <c r="Q18" s="154">
        <v>35</v>
      </c>
      <c r="R18" s="154">
        <v>34</v>
      </c>
      <c r="S18" s="154">
        <v>35</v>
      </c>
      <c r="T18" s="154"/>
      <c r="U18" s="154">
        <v>35</v>
      </c>
      <c r="V18" s="154"/>
      <c r="W18" s="154"/>
      <c r="X18" s="154"/>
      <c r="Y18" s="154"/>
      <c r="Z18" s="154"/>
      <c r="AA18" s="406" t="s">
        <v>296</v>
      </c>
      <c r="AB18" s="154"/>
      <c r="AC18" s="154">
        <v>33</v>
      </c>
      <c r="AD18" s="154"/>
      <c r="AE18" s="154"/>
      <c r="AF18" s="154">
        <v>35</v>
      </c>
      <c r="AG18" s="154">
        <v>40</v>
      </c>
      <c r="AH18" s="154"/>
      <c r="AI18" s="413"/>
      <c r="AJ18" s="42">
        <f t="shared" si="1"/>
        <v>18</v>
      </c>
      <c r="AK18" s="43">
        <f t="shared" si="2"/>
        <v>0</v>
      </c>
      <c r="AL18" s="43">
        <f t="shared" si="3"/>
        <v>18</v>
      </c>
      <c r="AM18" s="43">
        <f t="shared" si="4"/>
        <v>40</v>
      </c>
      <c r="AN18" s="25"/>
      <c r="AO18" s="38" t="str">
        <f t="shared" si="5"/>
        <v> </v>
      </c>
    </row>
    <row r="19" spans="2:41" ht="15.75">
      <c r="B19" s="152" t="s">
        <v>21</v>
      </c>
      <c r="C19" s="153">
        <f t="shared" si="0"/>
        <v>35.111111111111114</v>
      </c>
      <c r="D19" s="240"/>
      <c r="E19" s="154"/>
      <c r="F19" s="154"/>
      <c r="G19" s="154"/>
      <c r="H19" s="412"/>
      <c r="I19" s="154"/>
      <c r="J19" s="154"/>
      <c r="K19" s="154"/>
      <c r="L19" s="154">
        <v>34</v>
      </c>
      <c r="M19" s="154">
        <v>34</v>
      </c>
      <c r="N19" s="240"/>
      <c r="O19" s="154"/>
      <c r="P19" s="154"/>
      <c r="Q19" s="154"/>
      <c r="R19" s="154"/>
      <c r="S19" s="154"/>
      <c r="T19" s="154"/>
      <c r="U19" s="240"/>
      <c r="V19" s="154">
        <v>29</v>
      </c>
      <c r="W19" s="154"/>
      <c r="X19" s="154"/>
      <c r="Y19" s="154"/>
      <c r="Z19" s="154"/>
      <c r="AA19" s="240"/>
      <c r="AB19" s="154">
        <v>32</v>
      </c>
      <c r="AC19" s="154">
        <v>32</v>
      </c>
      <c r="AD19" s="154">
        <v>31</v>
      </c>
      <c r="AE19" s="240">
        <v>34</v>
      </c>
      <c r="AF19" s="154"/>
      <c r="AG19" s="240"/>
      <c r="AH19" s="154">
        <v>36</v>
      </c>
      <c r="AI19" s="413"/>
      <c r="AJ19" s="42">
        <f t="shared" si="1"/>
        <v>8</v>
      </c>
      <c r="AK19" s="43">
        <f t="shared" si="2"/>
        <v>10</v>
      </c>
      <c r="AL19" s="43">
        <f t="shared" si="3"/>
        <v>18</v>
      </c>
      <c r="AM19" s="43">
        <f t="shared" si="4"/>
        <v>36</v>
      </c>
      <c r="AO19" s="38" t="str">
        <f t="shared" si="5"/>
        <v> </v>
      </c>
    </row>
    <row r="20" spans="2:41" ht="15.75">
      <c r="B20" s="152" t="s">
        <v>33</v>
      </c>
      <c r="C20" s="153">
        <f t="shared" si="0"/>
        <v>35.611111111111114</v>
      </c>
      <c r="D20" s="240"/>
      <c r="E20" s="240"/>
      <c r="F20" s="240">
        <v>34</v>
      </c>
      <c r="G20" s="240"/>
      <c r="H20" s="413"/>
      <c r="I20" s="154"/>
      <c r="J20" s="154"/>
      <c r="K20" s="240"/>
      <c r="L20" s="240">
        <v>31</v>
      </c>
      <c r="M20" s="154"/>
      <c r="N20" s="154"/>
      <c r="O20" s="240">
        <v>32</v>
      </c>
      <c r="P20" s="240"/>
      <c r="Q20" s="240"/>
      <c r="R20" s="240"/>
      <c r="S20" s="154"/>
      <c r="T20" s="154"/>
      <c r="U20" s="154"/>
      <c r="V20" s="154"/>
      <c r="W20" s="154"/>
      <c r="X20" s="154">
        <v>39</v>
      </c>
      <c r="Y20" s="154"/>
      <c r="Z20" s="240">
        <v>35</v>
      </c>
      <c r="AA20" s="154"/>
      <c r="AB20" s="154"/>
      <c r="AC20" s="240"/>
      <c r="AD20" s="240">
        <v>32</v>
      </c>
      <c r="AE20" s="154"/>
      <c r="AF20" s="240">
        <v>31</v>
      </c>
      <c r="AG20" s="154"/>
      <c r="AH20" s="154"/>
      <c r="AI20" s="412"/>
      <c r="AJ20" s="42">
        <f t="shared" si="1"/>
        <v>7</v>
      </c>
      <c r="AK20" s="43">
        <f t="shared" si="2"/>
        <v>11</v>
      </c>
      <c r="AL20" s="43">
        <f t="shared" si="3"/>
        <v>18</v>
      </c>
      <c r="AM20" s="43">
        <f t="shared" si="4"/>
        <v>39</v>
      </c>
      <c r="AO20" s="38" t="str">
        <f t="shared" si="5"/>
        <v> </v>
      </c>
    </row>
    <row r="21" spans="2:41" ht="15.75">
      <c r="B21" s="152" t="s">
        <v>27</v>
      </c>
      <c r="C21" s="153">
        <f t="shared" si="0"/>
        <v>36</v>
      </c>
      <c r="D21" s="154"/>
      <c r="E21" s="154">
        <v>36</v>
      </c>
      <c r="F21" s="240"/>
      <c r="G21" s="154"/>
      <c r="H21" s="412"/>
      <c r="I21" s="240"/>
      <c r="J21" s="240">
        <v>38</v>
      </c>
      <c r="K21" s="240">
        <v>41</v>
      </c>
      <c r="L21" s="154"/>
      <c r="M21" s="154"/>
      <c r="N21" s="154"/>
      <c r="O21" s="154">
        <v>34</v>
      </c>
      <c r="P21" s="154">
        <v>43</v>
      </c>
      <c r="Q21" s="154"/>
      <c r="R21" s="154">
        <v>36</v>
      </c>
      <c r="S21" s="154">
        <v>39</v>
      </c>
      <c r="T21" s="154">
        <v>37</v>
      </c>
      <c r="U21" s="240">
        <v>31</v>
      </c>
      <c r="V21" s="154">
        <v>32</v>
      </c>
      <c r="W21" s="154"/>
      <c r="X21" s="154"/>
      <c r="Y21" s="240">
        <v>35</v>
      </c>
      <c r="Z21" s="154">
        <v>36</v>
      </c>
      <c r="AA21" s="154">
        <v>36</v>
      </c>
      <c r="AB21" s="154">
        <v>35</v>
      </c>
      <c r="AC21" s="154">
        <v>33</v>
      </c>
      <c r="AD21" s="154">
        <v>39</v>
      </c>
      <c r="AE21" s="154"/>
      <c r="AF21" s="154"/>
      <c r="AG21" s="154">
        <v>30</v>
      </c>
      <c r="AH21" s="154">
        <v>37</v>
      </c>
      <c r="AI21" s="412"/>
      <c r="AJ21" s="42">
        <f t="shared" si="1"/>
        <v>18</v>
      </c>
      <c r="AK21" s="43">
        <f t="shared" si="2"/>
        <v>0</v>
      </c>
      <c r="AL21" s="43">
        <f t="shared" si="3"/>
        <v>18</v>
      </c>
      <c r="AM21" s="43">
        <f t="shared" si="4"/>
        <v>43</v>
      </c>
      <c r="AO21" s="38" t="str">
        <f t="shared" si="5"/>
        <v> </v>
      </c>
    </row>
    <row r="22" spans="2:41" ht="15.75">
      <c r="B22" s="152" t="s">
        <v>25</v>
      </c>
      <c r="C22" s="153">
        <f t="shared" si="0"/>
        <v>36.111111111111114</v>
      </c>
      <c r="D22" s="154"/>
      <c r="E22" s="154"/>
      <c r="F22" s="154"/>
      <c r="G22" s="154"/>
      <c r="H22" s="412"/>
      <c r="I22" s="154"/>
      <c r="J22" s="154"/>
      <c r="K22" s="154"/>
      <c r="L22" s="154"/>
      <c r="M22" s="154">
        <v>31</v>
      </c>
      <c r="N22" s="154"/>
      <c r="O22" s="154">
        <v>33</v>
      </c>
      <c r="P22" s="154"/>
      <c r="Q22" s="154"/>
      <c r="R22" s="154">
        <v>35</v>
      </c>
      <c r="S22" s="154"/>
      <c r="T22" s="154">
        <v>38</v>
      </c>
      <c r="U22" s="154"/>
      <c r="V22" s="154"/>
      <c r="W22" s="154"/>
      <c r="X22" s="154"/>
      <c r="Y22" s="154"/>
      <c r="Z22" s="154">
        <v>36</v>
      </c>
      <c r="AA22" s="154"/>
      <c r="AB22" s="154">
        <v>33</v>
      </c>
      <c r="AC22" s="154"/>
      <c r="AD22" s="154"/>
      <c r="AE22" s="154"/>
      <c r="AF22" s="154"/>
      <c r="AG22" s="154"/>
      <c r="AH22" s="154"/>
      <c r="AI22" s="412"/>
      <c r="AJ22" s="42">
        <f t="shared" si="1"/>
        <v>6</v>
      </c>
      <c r="AK22" s="43">
        <f t="shared" si="2"/>
        <v>12</v>
      </c>
      <c r="AL22" s="43">
        <f t="shared" si="3"/>
        <v>18</v>
      </c>
      <c r="AM22" s="43">
        <f t="shared" si="4"/>
        <v>38</v>
      </c>
      <c r="AO22" s="38" t="str">
        <f t="shared" si="5"/>
        <v> </v>
      </c>
    </row>
    <row r="23" spans="2:41" ht="15.75">
      <c r="B23" s="152" t="s">
        <v>41</v>
      </c>
      <c r="C23" s="153">
        <f t="shared" si="0"/>
        <v>36.27777777777778</v>
      </c>
      <c r="D23" s="154"/>
      <c r="E23" s="154">
        <v>39</v>
      </c>
      <c r="F23" s="154"/>
      <c r="G23" s="240">
        <v>36</v>
      </c>
      <c r="H23" s="413"/>
      <c r="I23" s="154"/>
      <c r="J23" s="154">
        <v>35</v>
      </c>
      <c r="K23" s="154">
        <v>38</v>
      </c>
      <c r="L23" s="154">
        <v>36</v>
      </c>
      <c r="M23" s="154">
        <v>36</v>
      </c>
      <c r="N23" s="406" t="s">
        <v>296</v>
      </c>
      <c r="O23" s="240">
        <v>33</v>
      </c>
      <c r="P23" s="154">
        <v>29</v>
      </c>
      <c r="Q23" s="154">
        <v>38</v>
      </c>
      <c r="R23" s="154"/>
      <c r="S23" s="154"/>
      <c r="T23" s="154"/>
      <c r="U23" s="154"/>
      <c r="V23" s="154">
        <v>39</v>
      </c>
      <c r="W23" s="154">
        <v>39</v>
      </c>
      <c r="X23" s="154">
        <v>34</v>
      </c>
      <c r="Y23" s="154">
        <v>33</v>
      </c>
      <c r="Z23" s="154">
        <v>40</v>
      </c>
      <c r="AA23" s="240">
        <v>37</v>
      </c>
      <c r="AB23" s="154"/>
      <c r="AC23" s="154">
        <v>35</v>
      </c>
      <c r="AD23" s="154"/>
      <c r="AE23" s="154"/>
      <c r="AF23" s="154">
        <v>41</v>
      </c>
      <c r="AG23" s="154"/>
      <c r="AH23" s="240">
        <v>35</v>
      </c>
      <c r="AI23" s="412"/>
      <c r="AJ23" s="42">
        <f t="shared" si="1"/>
        <v>18</v>
      </c>
      <c r="AK23" s="43">
        <f t="shared" si="2"/>
        <v>0</v>
      </c>
      <c r="AL23" s="43">
        <f t="shared" si="3"/>
        <v>18</v>
      </c>
      <c r="AM23" s="43">
        <f t="shared" si="4"/>
        <v>41</v>
      </c>
      <c r="AO23" s="38" t="str">
        <f t="shared" si="5"/>
        <v> </v>
      </c>
    </row>
    <row r="24" spans="2:41" ht="15.75">
      <c r="B24" s="152" t="s">
        <v>9</v>
      </c>
      <c r="C24" s="153">
        <f t="shared" si="0"/>
        <v>36.333333333333336</v>
      </c>
      <c r="D24" s="154"/>
      <c r="E24" s="154">
        <v>36</v>
      </c>
      <c r="F24" s="154"/>
      <c r="G24" s="154">
        <v>35</v>
      </c>
      <c r="H24" s="412"/>
      <c r="I24" s="154">
        <v>41</v>
      </c>
      <c r="J24" s="154">
        <v>39</v>
      </c>
      <c r="K24" s="406" t="s">
        <v>296</v>
      </c>
      <c r="L24" s="154">
        <v>35</v>
      </c>
      <c r="M24" s="154"/>
      <c r="N24" s="154">
        <v>36</v>
      </c>
      <c r="O24" s="240">
        <v>31</v>
      </c>
      <c r="P24" s="154">
        <v>37</v>
      </c>
      <c r="Q24" s="154"/>
      <c r="R24" s="154">
        <v>31</v>
      </c>
      <c r="S24" s="154">
        <v>38</v>
      </c>
      <c r="T24" s="154">
        <v>38</v>
      </c>
      <c r="U24" s="154">
        <v>36</v>
      </c>
      <c r="V24" s="154">
        <v>33</v>
      </c>
      <c r="W24" s="154"/>
      <c r="X24" s="154"/>
      <c r="Y24" s="154"/>
      <c r="Z24" s="406" t="s">
        <v>289</v>
      </c>
      <c r="AA24" s="240"/>
      <c r="AB24" s="154">
        <v>35</v>
      </c>
      <c r="AC24" s="154">
        <v>33</v>
      </c>
      <c r="AD24" s="154"/>
      <c r="AE24" s="154">
        <v>41</v>
      </c>
      <c r="AF24" s="154">
        <v>37</v>
      </c>
      <c r="AG24" s="154"/>
      <c r="AH24" s="240">
        <v>42</v>
      </c>
      <c r="AI24" s="413"/>
      <c r="AJ24" s="42">
        <f t="shared" si="1"/>
        <v>18</v>
      </c>
      <c r="AK24" s="43">
        <f t="shared" si="2"/>
        <v>0</v>
      </c>
      <c r="AL24" s="43">
        <f t="shared" si="3"/>
        <v>18</v>
      </c>
      <c r="AM24" s="43">
        <f t="shared" si="4"/>
        <v>42</v>
      </c>
      <c r="AO24" s="38" t="str">
        <f t="shared" si="5"/>
        <v> </v>
      </c>
    </row>
    <row r="25" spans="2:41" ht="15.75">
      <c r="B25" s="152" t="s">
        <v>51</v>
      </c>
      <c r="C25" s="153">
        <f t="shared" si="0"/>
        <v>36.55555555555556</v>
      </c>
      <c r="D25" s="154"/>
      <c r="E25" s="154"/>
      <c r="F25" s="154"/>
      <c r="G25" s="154"/>
      <c r="H25" s="412"/>
      <c r="I25" s="154"/>
      <c r="J25" s="154"/>
      <c r="K25" s="154"/>
      <c r="L25" s="154">
        <v>39</v>
      </c>
      <c r="M25" s="154">
        <v>34</v>
      </c>
      <c r="N25" s="154"/>
      <c r="O25" s="240"/>
      <c r="P25" s="154">
        <v>39</v>
      </c>
      <c r="Q25" s="154">
        <v>38</v>
      </c>
      <c r="R25" s="154">
        <v>38</v>
      </c>
      <c r="S25" s="154">
        <v>39</v>
      </c>
      <c r="T25" s="154"/>
      <c r="U25" s="154"/>
      <c r="V25" s="154">
        <v>30</v>
      </c>
      <c r="W25" s="154">
        <v>33</v>
      </c>
      <c r="X25" s="154"/>
      <c r="Y25" s="154"/>
      <c r="Z25" s="154">
        <v>37</v>
      </c>
      <c r="AA25" s="154"/>
      <c r="AB25" s="154">
        <v>33</v>
      </c>
      <c r="AC25" s="154">
        <v>35</v>
      </c>
      <c r="AD25" s="154">
        <v>41</v>
      </c>
      <c r="AE25" s="154"/>
      <c r="AF25" s="154"/>
      <c r="AG25" s="154"/>
      <c r="AH25" s="154"/>
      <c r="AI25" s="413"/>
      <c r="AJ25" s="42">
        <f t="shared" si="1"/>
        <v>12</v>
      </c>
      <c r="AK25" s="43">
        <f t="shared" si="2"/>
        <v>6</v>
      </c>
      <c r="AL25" s="43">
        <f t="shared" si="3"/>
        <v>18</v>
      </c>
      <c r="AM25" s="43">
        <f t="shared" si="4"/>
        <v>41</v>
      </c>
      <c r="AO25" s="38" t="str">
        <f t="shared" si="5"/>
        <v> </v>
      </c>
    </row>
    <row r="26" spans="2:41" ht="15.75">
      <c r="B26" s="152" t="s">
        <v>17</v>
      </c>
      <c r="C26" s="153">
        <f t="shared" si="0"/>
        <v>37.333333333333336</v>
      </c>
      <c r="D26" s="154"/>
      <c r="E26" s="154"/>
      <c r="F26" s="240"/>
      <c r="G26" s="154"/>
      <c r="H26" s="412"/>
      <c r="I26" s="240">
        <v>36</v>
      </c>
      <c r="J26" s="240">
        <v>36</v>
      </c>
      <c r="K26" s="240">
        <v>44</v>
      </c>
      <c r="L26" s="240"/>
      <c r="M26" s="154">
        <v>40</v>
      </c>
      <c r="N26" s="154">
        <v>32</v>
      </c>
      <c r="O26" s="154">
        <v>30</v>
      </c>
      <c r="P26" s="154">
        <v>38</v>
      </c>
      <c r="Q26" s="154">
        <v>37</v>
      </c>
      <c r="R26" s="154">
        <v>35</v>
      </c>
      <c r="S26" s="154"/>
      <c r="T26" s="154"/>
      <c r="U26" s="240"/>
      <c r="V26" s="240"/>
      <c r="W26" s="154"/>
      <c r="X26" s="240"/>
      <c r="Y26" s="154"/>
      <c r="Z26" s="240"/>
      <c r="AA26" s="154"/>
      <c r="AB26" s="154"/>
      <c r="AC26" s="240"/>
      <c r="AD26" s="154">
        <v>42</v>
      </c>
      <c r="AE26" s="154">
        <v>43</v>
      </c>
      <c r="AF26" s="154">
        <v>37</v>
      </c>
      <c r="AG26" s="154"/>
      <c r="AH26" s="154"/>
      <c r="AI26" s="413"/>
      <c r="AJ26" s="42">
        <f t="shared" si="1"/>
        <v>12</v>
      </c>
      <c r="AK26" s="43">
        <f t="shared" si="2"/>
        <v>6</v>
      </c>
      <c r="AL26" s="43">
        <f t="shared" si="3"/>
        <v>18</v>
      </c>
      <c r="AM26" s="43">
        <f t="shared" si="4"/>
        <v>44</v>
      </c>
      <c r="AN26" s="25"/>
      <c r="AO26" s="38" t="str">
        <f t="shared" si="5"/>
        <v> </v>
      </c>
    </row>
    <row r="27" spans="1:41" ht="15.75">
      <c r="A27" s="25"/>
      <c r="B27" s="155" t="s">
        <v>47</v>
      </c>
      <c r="C27" s="156">
        <f t="shared" si="0"/>
        <v>37.388888888888886</v>
      </c>
      <c r="D27" s="157"/>
      <c r="E27" s="157">
        <v>41</v>
      </c>
      <c r="F27" s="157">
        <v>32</v>
      </c>
      <c r="G27" s="157">
        <v>32</v>
      </c>
      <c r="H27" s="414"/>
      <c r="I27" s="157">
        <v>43</v>
      </c>
      <c r="J27" s="157">
        <v>38</v>
      </c>
      <c r="K27" s="157">
        <v>39</v>
      </c>
      <c r="L27" s="154">
        <v>36</v>
      </c>
      <c r="M27" s="157"/>
      <c r="N27" s="157">
        <v>40</v>
      </c>
      <c r="O27" s="157"/>
      <c r="P27" s="157">
        <v>42</v>
      </c>
      <c r="Q27" s="384">
        <v>38</v>
      </c>
      <c r="R27" s="157">
        <v>38</v>
      </c>
      <c r="S27" s="157">
        <v>38</v>
      </c>
      <c r="T27" s="154"/>
      <c r="U27" s="157"/>
      <c r="V27" s="157"/>
      <c r="W27" s="154">
        <v>32</v>
      </c>
      <c r="X27" s="154"/>
      <c r="Y27" s="154">
        <v>37</v>
      </c>
      <c r="Z27" s="154"/>
      <c r="AA27" s="157"/>
      <c r="AB27" s="425" t="s">
        <v>296</v>
      </c>
      <c r="AC27" s="157">
        <v>34</v>
      </c>
      <c r="AD27" s="157">
        <v>40</v>
      </c>
      <c r="AE27" s="157"/>
      <c r="AF27" s="157">
        <v>35</v>
      </c>
      <c r="AG27" s="157"/>
      <c r="AH27" s="384">
        <v>38</v>
      </c>
      <c r="AI27" s="414"/>
      <c r="AJ27" s="42">
        <f t="shared" si="1"/>
        <v>18</v>
      </c>
      <c r="AK27" s="43">
        <f t="shared" si="2"/>
        <v>0</v>
      </c>
      <c r="AL27" s="43">
        <f t="shared" si="3"/>
        <v>18</v>
      </c>
      <c r="AM27" s="43">
        <f t="shared" si="4"/>
        <v>43</v>
      </c>
      <c r="AO27" s="38" t="str">
        <f t="shared" si="5"/>
        <v> </v>
      </c>
    </row>
    <row r="28" spans="4:41" ht="15.75">
      <c r="D28" s="44">
        <f aca="true" t="shared" si="6" ref="D28:AI28">SUM(D3:D27)</f>
        <v>295</v>
      </c>
      <c r="E28" s="44">
        <f t="shared" si="6"/>
        <v>370</v>
      </c>
      <c r="F28" s="44">
        <f t="shared" si="6"/>
        <v>412</v>
      </c>
      <c r="G28" s="44">
        <f t="shared" si="6"/>
        <v>451</v>
      </c>
      <c r="H28" s="44">
        <f t="shared" si="6"/>
        <v>0</v>
      </c>
      <c r="I28" s="44">
        <f t="shared" si="6"/>
        <v>380</v>
      </c>
      <c r="J28" s="44">
        <f t="shared" si="6"/>
        <v>578</v>
      </c>
      <c r="K28" s="44">
        <f t="shared" si="6"/>
        <v>534</v>
      </c>
      <c r="L28" s="44">
        <f t="shared" si="6"/>
        <v>496</v>
      </c>
      <c r="M28" s="44">
        <f t="shared" si="6"/>
        <v>579</v>
      </c>
      <c r="N28" s="44">
        <f t="shared" si="6"/>
        <v>439</v>
      </c>
      <c r="O28" s="44">
        <f t="shared" si="6"/>
        <v>625</v>
      </c>
      <c r="P28" s="44">
        <f t="shared" si="6"/>
        <v>430</v>
      </c>
      <c r="Q28" s="44">
        <f t="shared" si="6"/>
        <v>450</v>
      </c>
      <c r="R28" s="44">
        <f t="shared" si="6"/>
        <v>394</v>
      </c>
      <c r="S28" s="44">
        <f t="shared" si="6"/>
        <v>479</v>
      </c>
      <c r="T28" s="44">
        <f t="shared" si="6"/>
        <v>418</v>
      </c>
      <c r="U28" s="44">
        <f t="shared" si="6"/>
        <v>392</v>
      </c>
      <c r="V28" s="44">
        <f t="shared" si="6"/>
        <v>381</v>
      </c>
      <c r="W28" s="44">
        <f t="shared" si="6"/>
        <v>472</v>
      </c>
      <c r="X28" s="44">
        <f t="shared" si="6"/>
        <v>359</v>
      </c>
      <c r="Y28" s="44">
        <f t="shared" si="6"/>
        <v>434</v>
      </c>
      <c r="Z28" s="44">
        <f t="shared" si="6"/>
        <v>481</v>
      </c>
      <c r="AA28" s="44">
        <f t="shared" si="6"/>
        <v>303</v>
      </c>
      <c r="AB28" s="44">
        <f t="shared" si="6"/>
        <v>453</v>
      </c>
      <c r="AC28" s="44">
        <f t="shared" si="6"/>
        <v>543</v>
      </c>
      <c r="AD28" s="44">
        <f t="shared" si="6"/>
        <v>424</v>
      </c>
      <c r="AE28" s="44">
        <f t="shared" si="6"/>
        <v>329</v>
      </c>
      <c r="AF28" s="44">
        <f t="shared" si="6"/>
        <v>450</v>
      </c>
      <c r="AG28" s="44">
        <f t="shared" si="6"/>
        <v>251</v>
      </c>
      <c r="AH28" s="44">
        <f t="shared" si="6"/>
        <v>334</v>
      </c>
      <c r="AI28" s="44">
        <f t="shared" si="6"/>
        <v>0</v>
      </c>
      <c r="AO28" s="38"/>
    </row>
    <row r="29" spans="2:39" ht="15.75">
      <c r="B29" s="189" t="s">
        <v>67</v>
      </c>
      <c r="C29" s="48"/>
      <c r="D29" s="48"/>
      <c r="E29" s="48"/>
      <c r="F29" s="48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89"/>
      <c r="U29" s="189"/>
      <c r="V29" s="189"/>
      <c r="W29" s="189"/>
      <c r="X29" s="34"/>
      <c r="Y29" s="34"/>
      <c r="Z29" s="34"/>
      <c r="AA29" s="379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</row>
    <row r="30" spans="2:39" ht="15.75">
      <c r="B30" s="189" t="s">
        <v>68</v>
      </c>
      <c r="C30" s="189"/>
      <c r="D30" s="189"/>
      <c r="E30" s="189"/>
      <c r="F30" s="189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89"/>
      <c r="U30" s="189"/>
      <c r="V30" s="189"/>
      <c r="W30" s="189"/>
      <c r="X30" s="34"/>
      <c r="Y30" s="34"/>
      <c r="Z30" s="34"/>
      <c r="AA30" s="379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</row>
    <row r="31" spans="3:27" ht="12.75" customHeight="1">
      <c r="C31" s="45"/>
      <c r="D31" s="45"/>
      <c r="E31" s="45"/>
      <c r="F31" s="45"/>
      <c r="R31" s="17"/>
      <c r="S31" s="17"/>
      <c r="T31" s="45"/>
      <c r="U31" s="45"/>
      <c r="V31" s="45"/>
      <c r="W31" s="45"/>
      <c r="AA31" s="38"/>
    </row>
    <row r="32" spans="2:27" ht="15.75">
      <c r="B32" s="46" t="s">
        <v>69</v>
      </c>
      <c r="R32" s="17"/>
      <c r="S32" s="17"/>
      <c r="T32" s="45"/>
      <c r="U32" s="45"/>
      <c r="V32" s="45"/>
      <c r="W32" s="45"/>
      <c r="AA32" s="38"/>
    </row>
  </sheetData>
  <sheetProtection selectLockedCells="1" selectUnlockedCells="1"/>
  <autoFilter ref="A2:AP2">
    <sortState ref="A3:AP32">
      <sortCondition sortBy="value" ref="C3:C32"/>
    </sortState>
  </autoFilter>
  <printOptions horizontalCentered="1" verticalCentered="1"/>
  <pageMargins left="0.43333333333333335" right="0.43333333333333335" top="0.5513888888888889" bottom="0.5513888888888889" header="0.5118055555555555" footer="0.511805555555555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6600"/>
  </sheetPr>
  <dimension ref="B1:AN84"/>
  <sheetViews>
    <sheetView tabSelected="1" zoomScalePageLayoutView="0" workbookViewId="0" topLeftCell="B1">
      <selection activeCell="G3" sqref="G3"/>
    </sheetView>
  </sheetViews>
  <sheetFormatPr defaultColWidth="9.140625" defaultRowHeight="12.75"/>
  <cols>
    <col min="1" max="1" width="0" style="34" hidden="1" customWidth="1"/>
    <col min="2" max="2" width="16.28125" style="47" customWidth="1"/>
    <col min="3" max="3" width="13.140625" style="48" customWidth="1"/>
    <col min="4" max="4" width="15.00390625" style="49" customWidth="1"/>
    <col min="5" max="5" width="10.140625" style="50" customWidth="1"/>
    <col min="6" max="6" width="4.00390625" style="34" customWidth="1"/>
    <col min="7" max="7" width="16.7109375" style="34" customWidth="1"/>
    <col min="8" max="8" width="16.00390625" style="34" customWidth="1"/>
    <col min="9" max="9" width="8.140625" style="34" customWidth="1"/>
    <col min="10" max="45" width="4.7109375" style="34" customWidth="1"/>
    <col min="46" max="16384" width="9.140625" style="34" customWidth="1"/>
  </cols>
  <sheetData>
    <row r="1" spans="2:36" ht="19.5">
      <c r="B1" s="442" t="s">
        <v>70</v>
      </c>
      <c r="C1" s="442"/>
      <c r="D1" s="442"/>
      <c r="E1" s="442"/>
      <c r="F1" s="18"/>
      <c r="G1" s="443" t="s">
        <v>71</v>
      </c>
      <c r="H1" s="443"/>
      <c r="I1" s="443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</row>
    <row r="2" spans="2:15" s="33" customFormat="1" ht="81.75" customHeight="1" thickBot="1">
      <c r="B2" s="163"/>
      <c r="C2" s="164" t="s">
        <v>72</v>
      </c>
      <c r="D2" s="165" t="s">
        <v>73</v>
      </c>
      <c r="E2" s="166" t="s">
        <v>74</v>
      </c>
      <c r="H2" s="40" t="s">
        <v>75</v>
      </c>
      <c r="I2" s="22" t="s">
        <v>74</v>
      </c>
      <c r="O2" s="52"/>
    </row>
    <row r="3" spans="2:40" s="218" customFormat="1" ht="15.75">
      <c r="B3" s="421" t="s">
        <v>43</v>
      </c>
      <c r="C3" s="335">
        <v>0.99</v>
      </c>
      <c r="D3" s="336" t="s">
        <v>212</v>
      </c>
      <c r="E3" s="337">
        <v>43013</v>
      </c>
      <c r="G3" s="239" t="s">
        <v>13</v>
      </c>
      <c r="H3" s="220" t="s">
        <v>297</v>
      </c>
      <c r="I3" s="179">
        <v>43015</v>
      </c>
      <c r="AM3" s="221"/>
      <c r="AN3" s="53"/>
    </row>
    <row r="4" spans="2:40" s="218" customFormat="1" ht="15.75">
      <c r="B4" s="423" t="s">
        <v>15</v>
      </c>
      <c r="C4" s="172">
        <v>1.46</v>
      </c>
      <c r="D4" s="171" t="s">
        <v>212</v>
      </c>
      <c r="E4" s="217">
        <v>42985</v>
      </c>
      <c r="G4" s="219" t="s">
        <v>47</v>
      </c>
      <c r="H4" s="220" t="s">
        <v>276</v>
      </c>
      <c r="I4" s="222">
        <v>42981</v>
      </c>
      <c r="AM4" s="221"/>
      <c r="AN4" s="53"/>
    </row>
    <row r="5" spans="2:40" s="218" customFormat="1" ht="16.5" thickBot="1">
      <c r="B5" s="422" t="s">
        <v>13</v>
      </c>
      <c r="C5" s="223">
        <v>1.56</v>
      </c>
      <c r="D5" s="224" t="s">
        <v>212</v>
      </c>
      <c r="E5" s="338">
        <v>42992</v>
      </c>
      <c r="F5" s="225"/>
      <c r="G5" s="219" t="s">
        <v>31</v>
      </c>
      <c r="H5" s="220" t="s">
        <v>237</v>
      </c>
      <c r="I5" s="179">
        <v>42896</v>
      </c>
      <c r="J5" s="225"/>
      <c r="K5" s="225"/>
      <c r="L5" s="225"/>
      <c r="M5" s="225"/>
      <c r="AM5" s="221"/>
      <c r="AN5" s="53"/>
    </row>
    <row r="6" spans="2:40" s="218" customFormat="1" ht="15.75">
      <c r="B6" s="409" t="s">
        <v>39</v>
      </c>
      <c r="C6" s="173">
        <v>1.62</v>
      </c>
      <c r="D6" s="171" t="s">
        <v>212</v>
      </c>
      <c r="E6" s="174">
        <v>42880</v>
      </c>
      <c r="AM6" s="221"/>
      <c r="AN6" s="53"/>
    </row>
    <row r="7" spans="2:40" s="218" customFormat="1" ht="15.75">
      <c r="B7" s="226" t="s">
        <v>37</v>
      </c>
      <c r="C7" s="172">
        <v>1.67</v>
      </c>
      <c r="D7" s="175" t="s">
        <v>212</v>
      </c>
      <c r="E7" s="176">
        <v>42824</v>
      </c>
      <c r="AM7" s="221"/>
      <c r="AN7" s="53"/>
    </row>
    <row r="8" spans="2:40" s="218" customFormat="1" ht="15.75">
      <c r="B8" s="226" t="s">
        <v>31</v>
      </c>
      <c r="C8" s="172">
        <v>1.82</v>
      </c>
      <c r="D8" s="175" t="s">
        <v>225</v>
      </c>
      <c r="E8" s="176">
        <v>42859</v>
      </c>
      <c r="AM8" s="221"/>
      <c r="AN8" s="53"/>
    </row>
    <row r="9" spans="2:40" s="218" customFormat="1" ht="15.75">
      <c r="B9" s="199" t="s">
        <v>19</v>
      </c>
      <c r="C9" s="172">
        <v>1.93</v>
      </c>
      <c r="D9" s="175" t="s">
        <v>214</v>
      </c>
      <c r="E9" s="176">
        <v>42831</v>
      </c>
      <c r="AM9" s="221"/>
      <c r="AN9" s="53"/>
    </row>
    <row r="10" spans="2:40" s="218" customFormat="1" ht="15.75">
      <c r="B10" s="199" t="s">
        <v>29</v>
      </c>
      <c r="C10" s="172">
        <v>2.18</v>
      </c>
      <c r="D10" s="175" t="s">
        <v>238</v>
      </c>
      <c r="E10" s="176">
        <v>42896</v>
      </c>
      <c r="F10" s="225"/>
      <c r="G10" s="225"/>
      <c r="H10" s="225"/>
      <c r="I10" s="225"/>
      <c r="J10" s="225"/>
      <c r="K10" s="225"/>
      <c r="L10" s="225"/>
      <c r="M10" s="225"/>
      <c r="AM10" s="221"/>
      <c r="AN10" s="53"/>
    </row>
    <row r="11" spans="2:40" s="218" customFormat="1" ht="15.75">
      <c r="B11" s="226" t="s">
        <v>29</v>
      </c>
      <c r="C11" s="172">
        <v>2.23</v>
      </c>
      <c r="D11" s="175" t="s">
        <v>241</v>
      </c>
      <c r="E11" s="176">
        <v>42896</v>
      </c>
      <c r="AM11" s="221"/>
      <c r="AN11" s="53"/>
    </row>
    <row r="12" spans="2:40" s="218" customFormat="1" ht="15.75">
      <c r="B12" s="200" t="s">
        <v>49</v>
      </c>
      <c r="C12" s="172">
        <v>2.47</v>
      </c>
      <c r="D12" s="175" t="s">
        <v>224</v>
      </c>
      <c r="E12" s="176">
        <v>42887</v>
      </c>
      <c r="AM12" s="221"/>
      <c r="AN12" s="53"/>
    </row>
    <row r="13" spans="2:40" s="218" customFormat="1" ht="15.75">
      <c r="B13" s="200" t="s">
        <v>200</v>
      </c>
      <c r="C13" s="172">
        <v>2.8</v>
      </c>
      <c r="D13" s="175" t="s">
        <v>215</v>
      </c>
      <c r="E13" s="176">
        <v>43015</v>
      </c>
      <c r="AM13" s="221"/>
      <c r="AN13" s="53"/>
    </row>
    <row r="14" spans="2:40" s="218" customFormat="1" ht="15.75">
      <c r="B14" s="199" t="s">
        <v>43</v>
      </c>
      <c r="C14" s="172">
        <v>3.07</v>
      </c>
      <c r="D14" s="175" t="s">
        <v>224</v>
      </c>
      <c r="E14" s="176">
        <v>42985</v>
      </c>
      <c r="AM14" s="221"/>
      <c r="AN14" s="53"/>
    </row>
    <row r="15" spans="2:40" s="218" customFormat="1" ht="15.75">
      <c r="B15" s="200" t="s">
        <v>29</v>
      </c>
      <c r="C15" s="172">
        <v>3.1</v>
      </c>
      <c r="D15" s="175" t="s">
        <v>212</v>
      </c>
      <c r="E15" s="176">
        <v>42943</v>
      </c>
      <c r="AM15" s="221"/>
      <c r="AN15" s="53"/>
    </row>
    <row r="16" spans="2:40" s="218" customFormat="1" ht="15.75">
      <c r="B16" s="199" t="s">
        <v>31</v>
      </c>
      <c r="C16" s="172">
        <v>3.16</v>
      </c>
      <c r="D16" s="175" t="s">
        <v>258</v>
      </c>
      <c r="E16" s="176">
        <v>42950</v>
      </c>
      <c r="AM16" s="221"/>
      <c r="AN16" s="53"/>
    </row>
    <row r="17" spans="2:40" s="218" customFormat="1" ht="15.75">
      <c r="B17" s="200" t="s">
        <v>39</v>
      </c>
      <c r="C17" s="172">
        <v>3.22</v>
      </c>
      <c r="D17" s="175" t="s">
        <v>224</v>
      </c>
      <c r="E17" s="176">
        <v>43013</v>
      </c>
      <c r="AM17" s="221"/>
      <c r="AN17" s="53"/>
    </row>
    <row r="18" spans="2:40" s="225" customFormat="1" ht="15.75">
      <c r="B18" s="424" t="s">
        <v>33</v>
      </c>
      <c r="C18" s="227">
        <v>3.26</v>
      </c>
      <c r="D18" s="228" t="s">
        <v>239</v>
      </c>
      <c r="E18" s="176">
        <v>42896</v>
      </c>
      <c r="F18" s="218"/>
      <c r="G18" s="218"/>
      <c r="H18" s="218"/>
      <c r="I18" s="218"/>
      <c r="J18" s="218"/>
      <c r="K18" s="218"/>
      <c r="L18" s="218"/>
      <c r="M18" s="218"/>
      <c r="AM18" s="229"/>
      <c r="AN18" s="53"/>
    </row>
    <row r="19" spans="2:40" s="225" customFormat="1" ht="15.75">
      <c r="B19" s="230" t="s">
        <v>13</v>
      </c>
      <c r="C19" s="177">
        <v>3.47</v>
      </c>
      <c r="D19" s="178" t="s">
        <v>217</v>
      </c>
      <c r="E19" s="176">
        <v>42957</v>
      </c>
      <c r="F19" s="218"/>
      <c r="G19" s="218"/>
      <c r="H19" s="218"/>
      <c r="I19" s="218"/>
      <c r="J19" s="218"/>
      <c r="K19" s="218"/>
      <c r="L19" s="218"/>
      <c r="M19" s="218"/>
      <c r="AM19" s="229"/>
      <c r="AN19" s="53"/>
    </row>
    <row r="20" spans="2:40" s="225" customFormat="1" ht="15.75">
      <c r="B20" s="230" t="s">
        <v>19</v>
      </c>
      <c r="C20" s="177">
        <v>3.62</v>
      </c>
      <c r="D20" s="178" t="s">
        <v>212</v>
      </c>
      <c r="E20" s="176">
        <v>42901</v>
      </c>
      <c r="F20" s="218"/>
      <c r="G20" s="218"/>
      <c r="H20" s="218"/>
      <c r="I20" s="218"/>
      <c r="J20" s="218"/>
      <c r="K20" s="218"/>
      <c r="L20" s="218"/>
      <c r="M20" s="218"/>
      <c r="AM20" s="229"/>
      <c r="AN20" s="53"/>
    </row>
    <row r="21" spans="2:40" s="225" customFormat="1" ht="15.75">
      <c r="B21" s="203" t="s">
        <v>39</v>
      </c>
      <c r="C21" s="177">
        <v>3.64</v>
      </c>
      <c r="D21" s="178" t="s">
        <v>217</v>
      </c>
      <c r="E21" s="176">
        <v>42873</v>
      </c>
      <c r="F21" s="218"/>
      <c r="G21" s="218"/>
      <c r="H21" s="218"/>
      <c r="I21" s="218"/>
      <c r="J21" s="218"/>
      <c r="K21" s="218"/>
      <c r="L21" s="218"/>
      <c r="M21" s="218"/>
      <c r="AM21" s="229"/>
      <c r="AN21" s="53"/>
    </row>
    <row r="22" spans="2:5" s="218" customFormat="1" ht="15.75">
      <c r="B22" s="202" t="s">
        <v>31</v>
      </c>
      <c r="C22" s="177">
        <v>3.65</v>
      </c>
      <c r="D22" s="178" t="s">
        <v>212</v>
      </c>
      <c r="E22" s="176">
        <v>42950</v>
      </c>
    </row>
    <row r="23" spans="2:5" s="218" customFormat="1" ht="15.75">
      <c r="B23" s="230" t="s">
        <v>200</v>
      </c>
      <c r="C23" s="177">
        <v>3.73</v>
      </c>
      <c r="D23" s="178" t="s">
        <v>217</v>
      </c>
      <c r="E23" s="176">
        <v>42831</v>
      </c>
    </row>
    <row r="24" spans="2:5" s="218" customFormat="1" ht="15.75">
      <c r="B24" s="202" t="s">
        <v>283</v>
      </c>
      <c r="C24" s="177">
        <v>3.74</v>
      </c>
      <c r="D24" s="178" t="s">
        <v>215</v>
      </c>
      <c r="E24" s="176">
        <v>42985</v>
      </c>
    </row>
    <row r="25" spans="2:13" s="218" customFormat="1" ht="15.75">
      <c r="B25" s="230" t="s">
        <v>200</v>
      </c>
      <c r="C25" s="177">
        <v>3.75</v>
      </c>
      <c r="D25" s="178" t="s">
        <v>212</v>
      </c>
      <c r="E25" s="176">
        <v>42838</v>
      </c>
      <c r="F25" s="225"/>
      <c r="G25" s="225"/>
      <c r="H25" s="225"/>
      <c r="I25" s="225"/>
      <c r="J25" s="225"/>
      <c r="K25" s="225"/>
      <c r="L25" s="225"/>
      <c r="M25" s="225"/>
    </row>
    <row r="26" spans="2:5" s="218" customFormat="1" ht="15.75">
      <c r="B26" s="202" t="s">
        <v>43</v>
      </c>
      <c r="C26" s="177">
        <v>3.76</v>
      </c>
      <c r="D26" s="178" t="s">
        <v>212</v>
      </c>
      <c r="E26" s="176">
        <v>42929</v>
      </c>
    </row>
    <row r="27" spans="2:13" s="218" customFormat="1" ht="15.75">
      <c r="B27" s="202" t="s">
        <v>27</v>
      </c>
      <c r="C27" s="177">
        <v>4.02</v>
      </c>
      <c r="D27" s="178" t="s">
        <v>212</v>
      </c>
      <c r="E27" s="179">
        <v>42908</v>
      </c>
      <c r="F27" s="225"/>
      <c r="G27" s="225"/>
      <c r="H27" s="225"/>
      <c r="I27" s="225"/>
      <c r="J27" s="225"/>
      <c r="K27" s="225"/>
      <c r="L27" s="225"/>
      <c r="M27" s="225"/>
    </row>
    <row r="28" spans="2:5" s="218" customFormat="1" ht="15.75">
      <c r="B28" s="230" t="s">
        <v>29</v>
      </c>
      <c r="C28" s="177">
        <v>4.07</v>
      </c>
      <c r="D28" s="178" t="s">
        <v>224</v>
      </c>
      <c r="E28" s="179">
        <v>42859</v>
      </c>
    </row>
    <row r="29" spans="2:5" s="218" customFormat="1" ht="15.75">
      <c r="B29" s="407" t="s">
        <v>35</v>
      </c>
      <c r="C29" s="177">
        <v>4.07</v>
      </c>
      <c r="D29" s="178" t="s">
        <v>215</v>
      </c>
      <c r="E29" s="179">
        <v>42859</v>
      </c>
    </row>
    <row r="30" spans="2:5" s="218" customFormat="1" ht="15.75">
      <c r="B30" s="202" t="s">
        <v>21</v>
      </c>
      <c r="C30" s="177">
        <v>4.34</v>
      </c>
      <c r="D30" s="178" t="s">
        <v>216</v>
      </c>
      <c r="E30" s="179">
        <v>42831</v>
      </c>
    </row>
    <row r="31" spans="2:5" s="218" customFormat="1" ht="15.75">
      <c r="B31" s="203" t="s">
        <v>45</v>
      </c>
      <c r="C31" s="177">
        <v>4.34</v>
      </c>
      <c r="D31" s="178" t="s">
        <v>212</v>
      </c>
      <c r="E31" s="179">
        <v>42971</v>
      </c>
    </row>
    <row r="32" spans="2:5" s="218" customFormat="1" ht="15.75">
      <c r="B32" s="202" t="s">
        <v>15</v>
      </c>
      <c r="C32" s="177">
        <v>4.6</v>
      </c>
      <c r="D32" s="178" t="s">
        <v>217</v>
      </c>
      <c r="E32" s="179">
        <v>42978</v>
      </c>
    </row>
    <row r="33" spans="2:5" s="218" customFormat="1" ht="15.75">
      <c r="B33" s="230" t="s">
        <v>33</v>
      </c>
      <c r="C33" s="177">
        <v>4.89</v>
      </c>
      <c r="D33" s="178" t="s">
        <v>212</v>
      </c>
      <c r="E33" s="179">
        <v>42887</v>
      </c>
    </row>
    <row r="34" spans="2:5" s="218" customFormat="1" ht="15.75">
      <c r="B34" s="355" t="s">
        <v>31</v>
      </c>
      <c r="C34" s="177">
        <v>4.97</v>
      </c>
      <c r="D34" s="178" t="s">
        <v>216</v>
      </c>
      <c r="E34" s="179">
        <v>42915</v>
      </c>
    </row>
    <row r="35" spans="2:5" s="218" customFormat="1" ht="15.75">
      <c r="B35" s="202" t="s">
        <v>9</v>
      </c>
      <c r="C35" s="177">
        <v>5.08</v>
      </c>
      <c r="D35" s="178" t="s">
        <v>217</v>
      </c>
      <c r="E35" s="179">
        <v>42985</v>
      </c>
    </row>
    <row r="36" spans="2:5" s="218" customFormat="1" ht="15.75">
      <c r="B36" s="203" t="s">
        <v>49</v>
      </c>
      <c r="C36" s="177">
        <v>5.17</v>
      </c>
      <c r="D36" s="178" t="s">
        <v>217</v>
      </c>
      <c r="E36" s="179">
        <v>43015</v>
      </c>
    </row>
    <row r="37" spans="2:5" s="218" customFormat="1" ht="15.75">
      <c r="B37" s="230" t="s">
        <v>200</v>
      </c>
      <c r="C37" s="177">
        <v>5.32</v>
      </c>
      <c r="D37" s="178" t="s">
        <v>212</v>
      </c>
      <c r="E37" s="179">
        <v>42922</v>
      </c>
    </row>
    <row r="38" spans="2:5" s="218" customFormat="1" ht="15.75">
      <c r="B38" s="203" t="s">
        <v>19</v>
      </c>
      <c r="C38" s="177">
        <v>5.34</v>
      </c>
      <c r="D38" s="178" t="s">
        <v>276</v>
      </c>
      <c r="E38" s="179">
        <v>42980</v>
      </c>
    </row>
    <row r="39" spans="2:5" s="218" customFormat="1" ht="15.75">
      <c r="B39" s="202" t="s">
        <v>39</v>
      </c>
      <c r="C39" s="177">
        <v>5.34</v>
      </c>
      <c r="D39" s="178" t="s">
        <v>212</v>
      </c>
      <c r="E39" s="179">
        <v>43015</v>
      </c>
    </row>
    <row r="40" spans="2:5" s="218" customFormat="1" ht="15.75">
      <c r="B40" s="202" t="s">
        <v>39</v>
      </c>
      <c r="C40" s="177">
        <v>5.68</v>
      </c>
      <c r="D40" s="178" t="s">
        <v>240</v>
      </c>
      <c r="E40" s="179">
        <v>42896</v>
      </c>
    </row>
    <row r="41" spans="2:5" s="218" customFormat="1" ht="15.75">
      <c r="B41" s="355" t="s">
        <v>49</v>
      </c>
      <c r="C41" s="177">
        <v>5.69</v>
      </c>
      <c r="D41" s="178" t="s">
        <v>212</v>
      </c>
      <c r="E41" s="179">
        <v>42964</v>
      </c>
    </row>
    <row r="42" spans="2:5" s="218" customFormat="1" ht="15.75">
      <c r="B42" s="411" t="s">
        <v>33</v>
      </c>
      <c r="C42" s="216">
        <v>5.77</v>
      </c>
      <c r="D42" s="178" t="s">
        <v>217</v>
      </c>
      <c r="E42" s="179">
        <v>42859</v>
      </c>
    </row>
    <row r="43" spans="2:5" s="218" customFormat="1" ht="15.75">
      <c r="B43" s="226" t="s">
        <v>35</v>
      </c>
      <c r="C43" s="172">
        <v>6.04</v>
      </c>
      <c r="D43" s="178" t="s">
        <v>217</v>
      </c>
      <c r="E43" s="179">
        <v>42852</v>
      </c>
    </row>
    <row r="44" spans="2:5" s="218" customFormat="1" ht="15.75">
      <c r="B44" s="200" t="s">
        <v>19</v>
      </c>
      <c r="C44" s="172">
        <v>6.3</v>
      </c>
      <c r="D44" s="178" t="s">
        <v>215</v>
      </c>
      <c r="E44" s="179">
        <v>42831</v>
      </c>
    </row>
    <row r="45" spans="2:5" s="218" customFormat="1" ht="15.75">
      <c r="B45" s="226" t="s">
        <v>283</v>
      </c>
      <c r="C45" s="172">
        <v>6.33</v>
      </c>
      <c r="D45" s="175" t="s">
        <v>217</v>
      </c>
      <c r="E45" s="179">
        <v>42999</v>
      </c>
    </row>
    <row r="46" spans="2:5" s="218" customFormat="1" ht="15.75">
      <c r="B46" s="200" t="s">
        <v>33</v>
      </c>
      <c r="C46" s="172">
        <v>6.75</v>
      </c>
      <c r="D46" s="175" t="s">
        <v>217</v>
      </c>
      <c r="E46" s="179">
        <v>43006</v>
      </c>
    </row>
    <row r="47" spans="2:5" s="218" customFormat="1" ht="15.75">
      <c r="B47" s="226" t="s">
        <v>29</v>
      </c>
      <c r="C47" s="172">
        <v>6.8</v>
      </c>
      <c r="D47" s="175" t="s">
        <v>212</v>
      </c>
      <c r="E47" s="179">
        <v>42845</v>
      </c>
    </row>
    <row r="48" spans="2:5" s="218" customFormat="1" ht="15.75">
      <c r="B48" s="226" t="s">
        <v>37</v>
      </c>
      <c r="C48" s="172">
        <v>7.11</v>
      </c>
      <c r="D48" s="175" t="s">
        <v>276</v>
      </c>
      <c r="E48" s="179">
        <v>42981</v>
      </c>
    </row>
    <row r="49" spans="2:5" s="218" customFormat="1" ht="15.75">
      <c r="B49" s="200" t="s">
        <v>49</v>
      </c>
      <c r="C49" s="172">
        <v>7.51</v>
      </c>
      <c r="D49" s="175" t="s">
        <v>224</v>
      </c>
      <c r="E49" s="179">
        <v>43015</v>
      </c>
    </row>
    <row r="50" spans="2:5" s="218" customFormat="1" ht="15.75">
      <c r="B50" s="199" t="s">
        <v>27</v>
      </c>
      <c r="C50" s="172">
        <v>8.1</v>
      </c>
      <c r="D50" s="175" t="s">
        <v>212</v>
      </c>
      <c r="E50" s="176">
        <v>42866</v>
      </c>
    </row>
    <row r="51" spans="2:5" s="218" customFormat="1" ht="15.75">
      <c r="B51" s="226" t="s">
        <v>252</v>
      </c>
      <c r="C51" s="172">
        <v>9.59</v>
      </c>
      <c r="D51" s="175" t="s">
        <v>217</v>
      </c>
      <c r="E51" s="176">
        <v>42922</v>
      </c>
    </row>
    <row r="52" spans="2:5" s="218" customFormat="1" ht="15.75">
      <c r="B52" s="199" t="s">
        <v>230</v>
      </c>
      <c r="C52" s="172">
        <v>11.11</v>
      </c>
      <c r="D52" s="175" t="s">
        <v>215</v>
      </c>
      <c r="E52" s="176">
        <v>42922</v>
      </c>
    </row>
    <row r="53" spans="2:5" s="218" customFormat="1" ht="15.75">
      <c r="B53" s="226" t="s">
        <v>43</v>
      </c>
      <c r="C53" s="172">
        <v>12.46</v>
      </c>
      <c r="D53" s="175" t="s">
        <v>214</v>
      </c>
      <c r="E53" s="176">
        <v>42950</v>
      </c>
    </row>
    <row r="54" spans="2:5" s="218" customFormat="1" ht="15.75">
      <c r="B54" s="201" t="s">
        <v>35</v>
      </c>
      <c r="C54" s="172">
        <v>14.34</v>
      </c>
      <c r="D54" s="175" t="s">
        <v>225</v>
      </c>
      <c r="E54" s="176">
        <v>42985</v>
      </c>
    </row>
    <row r="55" spans="2:5" s="218" customFormat="1" ht="15.75">
      <c r="B55" s="199" t="s">
        <v>31</v>
      </c>
      <c r="C55" s="172">
        <v>14.43</v>
      </c>
      <c r="D55" s="175" t="s">
        <v>224</v>
      </c>
      <c r="E55" s="176">
        <v>42922</v>
      </c>
    </row>
    <row r="56" spans="2:5" s="218" customFormat="1" ht="15.75">
      <c r="B56" s="199" t="s">
        <v>230</v>
      </c>
      <c r="C56" s="172">
        <v>15.32</v>
      </c>
      <c r="D56" s="175" t="s">
        <v>216</v>
      </c>
      <c r="E56" s="176">
        <v>42887</v>
      </c>
    </row>
    <row r="57" spans="2:5" s="218" customFormat="1" ht="15.75">
      <c r="B57" s="226" t="s">
        <v>43</v>
      </c>
      <c r="C57" s="172">
        <v>15.49</v>
      </c>
      <c r="D57" s="175" t="s">
        <v>216</v>
      </c>
      <c r="E57" s="176">
        <v>43015</v>
      </c>
    </row>
    <row r="58" spans="2:5" s="218" customFormat="1" ht="15.75">
      <c r="B58" s="226" t="s">
        <v>21</v>
      </c>
      <c r="C58" s="172">
        <v>19.98</v>
      </c>
      <c r="D58" s="175" t="s">
        <v>212</v>
      </c>
      <c r="E58" s="176">
        <v>42859</v>
      </c>
    </row>
    <row r="59" spans="2:5" s="218" customFormat="1" ht="15.75">
      <c r="B59" s="200" t="s">
        <v>45</v>
      </c>
      <c r="C59" s="172">
        <v>22.6</v>
      </c>
      <c r="D59" s="175" t="s">
        <v>214</v>
      </c>
      <c r="E59" s="176">
        <v>42887</v>
      </c>
    </row>
    <row r="60" spans="2:5" s="218" customFormat="1" ht="15.75">
      <c r="B60" s="199"/>
      <c r="C60" s="172"/>
      <c r="D60" s="175"/>
      <c r="E60" s="176"/>
    </row>
    <row r="61" spans="2:5" s="218" customFormat="1" ht="15.75">
      <c r="B61" s="199"/>
      <c r="C61" s="172"/>
      <c r="D61" s="175"/>
      <c r="E61" s="176"/>
    </row>
    <row r="62" spans="2:5" s="218" customFormat="1" ht="15.75">
      <c r="B62" s="226"/>
      <c r="C62" s="172"/>
      <c r="D62" s="175"/>
      <c r="E62" s="176"/>
    </row>
    <row r="63" spans="2:5" s="218" customFormat="1" ht="15.75">
      <c r="B63" s="200"/>
      <c r="C63" s="172"/>
      <c r="D63" s="175"/>
      <c r="E63" s="176"/>
    </row>
    <row r="64" spans="2:5" s="218" customFormat="1" ht="15.75">
      <c r="B64" s="357"/>
      <c r="C64" s="172"/>
      <c r="D64" s="175"/>
      <c r="E64" s="176"/>
    </row>
    <row r="65" spans="2:5" s="218" customFormat="1" ht="15.75">
      <c r="B65" s="226"/>
      <c r="C65" s="172"/>
      <c r="D65" s="175"/>
      <c r="E65" s="176"/>
    </row>
    <row r="66" spans="2:5" s="218" customFormat="1" ht="15.75">
      <c r="B66" s="226"/>
      <c r="C66" s="172"/>
      <c r="D66" s="175"/>
      <c r="E66" s="176"/>
    </row>
    <row r="67" spans="2:5" s="218" customFormat="1" ht="15.75">
      <c r="B67" s="200"/>
      <c r="C67" s="172"/>
      <c r="D67" s="175"/>
      <c r="E67" s="176"/>
    </row>
    <row r="68" spans="2:5" s="218" customFormat="1" ht="15.75">
      <c r="B68" s="226"/>
      <c r="C68" s="172"/>
      <c r="D68" s="175"/>
      <c r="E68" s="176"/>
    </row>
    <row r="69" spans="2:5" s="218" customFormat="1" ht="15.75">
      <c r="B69" s="226"/>
      <c r="C69" s="172"/>
      <c r="D69" s="231"/>
      <c r="E69" s="232"/>
    </row>
    <row r="70" spans="2:5" s="218" customFormat="1" ht="15.75">
      <c r="B70" s="233"/>
      <c r="C70" s="234"/>
      <c r="D70" s="235"/>
      <c r="E70" s="236"/>
    </row>
    <row r="71" spans="2:5" s="218" customFormat="1" ht="15.75">
      <c r="B71" s="233"/>
      <c r="C71" s="234"/>
      <c r="D71" s="235"/>
      <c r="E71" s="236"/>
    </row>
    <row r="72" spans="2:5" s="218" customFormat="1" ht="15.75">
      <c r="B72" s="233"/>
      <c r="C72" s="234"/>
      <c r="D72" s="235"/>
      <c r="E72" s="236"/>
    </row>
    <row r="73" spans="2:5" s="218" customFormat="1" ht="15.75">
      <c r="B73" s="233"/>
      <c r="C73" s="234"/>
      <c r="D73" s="235"/>
      <c r="E73" s="236"/>
    </row>
    <row r="74" spans="2:5" s="218" customFormat="1" ht="15.75">
      <c r="B74" s="233"/>
      <c r="C74" s="234"/>
      <c r="D74" s="235"/>
      <c r="E74" s="236"/>
    </row>
    <row r="75" spans="2:5" s="218" customFormat="1" ht="15.75">
      <c r="B75" s="233"/>
      <c r="C75" s="237"/>
      <c r="D75" s="235"/>
      <c r="E75" s="236"/>
    </row>
    <row r="76" spans="2:5" s="218" customFormat="1" ht="15.75">
      <c r="B76" s="233"/>
      <c r="C76" s="237"/>
      <c r="D76" s="235"/>
      <c r="E76" s="236"/>
    </row>
    <row r="77" spans="2:5" s="218" customFormat="1" ht="15.75">
      <c r="B77" s="233"/>
      <c r="C77" s="237"/>
      <c r="D77" s="235"/>
      <c r="E77" s="236"/>
    </row>
    <row r="78" spans="2:5" s="218" customFormat="1" ht="15.75">
      <c r="B78" s="233"/>
      <c r="C78" s="237"/>
      <c r="D78" s="235"/>
      <c r="E78" s="236"/>
    </row>
    <row r="79" spans="2:5" s="218" customFormat="1" ht="15.75">
      <c r="B79" s="233"/>
      <c r="C79" s="237"/>
      <c r="D79" s="235"/>
      <c r="E79" s="236"/>
    </row>
    <row r="80" spans="2:5" s="218" customFormat="1" ht="15.75">
      <c r="B80" s="233"/>
      <c r="C80" s="237"/>
      <c r="D80" s="235"/>
      <c r="E80" s="236"/>
    </row>
    <row r="81" spans="2:5" s="218" customFormat="1" ht="15.75">
      <c r="B81" s="233"/>
      <c r="C81" s="237"/>
      <c r="D81" s="235"/>
      <c r="E81" s="236"/>
    </row>
    <row r="82" spans="2:5" s="218" customFormat="1" ht="15.75">
      <c r="B82" s="233"/>
      <c r="C82" s="237"/>
      <c r="D82" s="235"/>
      <c r="E82" s="236"/>
    </row>
    <row r="83" spans="2:5" s="218" customFormat="1" ht="15.75">
      <c r="B83" s="233"/>
      <c r="C83" s="237"/>
      <c r="D83" s="235"/>
      <c r="E83" s="236"/>
    </row>
    <row r="84" spans="2:5" s="218" customFormat="1" ht="15.75">
      <c r="B84" s="233"/>
      <c r="C84" s="237"/>
      <c r="D84" s="235"/>
      <c r="E84" s="236"/>
    </row>
  </sheetData>
  <sheetProtection selectLockedCells="1" selectUnlockedCells="1"/>
  <autoFilter ref="B2:E3">
    <sortState ref="B3:E84">
      <sortCondition sortBy="value" ref="C3:C84"/>
    </sortState>
  </autoFilter>
  <mergeCells count="2">
    <mergeCell ref="B1:E1"/>
    <mergeCell ref="G1:I1"/>
  </mergeCells>
  <printOptions horizontalCentered="1" verticalCentered="1"/>
  <pageMargins left="0.43333333333333335" right="0.43333333333333335" top="0.5513888888888889" bottom="0.5513888888888889" header="0.5118055555555555" footer="0.5118055555555555"/>
  <pageSetup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PageLayoutView="0" workbookViewId="0" topLeftCell="A1">
      <selection activeCell="A1" sqref="A1:N29"/>
    </sheetView>
  </sheetViews>
  <sheetFormatPr defaultColWidth="9.140625" defaultRowHeight="12.75"/>
  <cols>
    <col min="1" max="1" width="25.140625" style="54" customWidth="1"/>
    <col min="2" max="2" width="7.8515625" style="55" customWidth="1"/>
    <col min="3" max="3" width="8.421875" style="56" customWidth="1"/>
    <col min="4" max="4" width="6.8515625" style="55" customWidth="1"/>
    <col min="5" max="5" width="8.140625" style="55" customWidth="1"/>
    <col min="6" max="6" width="10.140625" style="55" customWidth="1"/>
    <col min="7" max="7" width="9.140625" style="55" customWidth="1"/>
    <col min="8" max="8" width="13.421875" style="55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" width="9.140625" style="8" customWidth="1"/>
    <col min="17" max="17" width="9.8515625" style="8" bestFit="1" customWidth="1"/>
    <col min="18" max="16384" width="9.140625" style="8" customWidth="1"/>
  </cols>
  <sheetData>
    <row r="1" spans="2:14" s="57" customFormat="1" ht="43.5" customHeight="1">
      <c r="B1" s="435" t="s">
        <v>169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</row>
    <row r="2" spans="2:17" s="57" customFormat="1" ht="29.25" customHeight="1">
      <c r="B2" s="444" t="s">
        <v>170</v>
      </c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P2" s="110" t="s">
        <v>97</v>
      </c>
      <c r="Q2" s="110" t="s">
        <v>98</v>
      </c>
    </row>
    <row r="3" spans="1:17" s="70" customFormat="1" ht="27" customHeight="1">
      <c r="A3" s="59" t="s">
        <v>77</v>
      </c>
      <c r="B3" s="60" t="s">
        <v>78</v>
      </c>
      <c r="C3" s="60" t="s">
        <v>79</v>
      </c>
      <c r="D3" s="60" t="s">
        <v>80</v>
      </c>
      <c r="E3" s="60" t="s">
        <v>81</v>
      </c>
      <c r="F3" s="61" t="s">
        <v>82</v>
      </c>
      <c r="G3" s="62" t="s">
        <v>83</v>
      </c>
      <c r="H3" s="63" t="s">
        <v>84</v>
      </c>
      <c r="I3" s="64"/>
      <c r="J3" s="65" t="s">
        <v>82</v>
      </c>
      <c r="K3" s="66"/>
      <c r="L3" s="67"/>
      <c r="M3" s="68" t="s">
        <v>83</v>
      </c>
      <c r="N3" s="69" t="s">
        <v>85</v>
      </c>
      <c r="P3" s="111">
        <v>27</v>
      </c>
      <c r="Q3" s="58" t="s">
        <v>76</v>
      </c>
    </row>
    <row r="4" spans="1:17" s="81" customFormat="1" ht="18" customHeight="1">
      <c r="A4" s="378" t="s">
        <v>30</v>
      </c>
      <c r="B4" s="247">
        <v>10.2</v>
      </c>
      <c r="C4" s="73">
        <v>52</v>
      </c>
      <c r="D4" s="73">
        <v>28</v>
      </c>
      <c r="E4" s="74"/>
      <c r="F4" s="72">
        <v>1</v>
      </c>
      <c r="G4" s="72">
        <v>10</v>
      </c>
      <c r="H4" s="75">
        <f aca="true" t="shared" si="0" ref="H4:H11">N4+I4</f>
        <v>2550000</v>
      </c>
      <c r="I4" s="76">
        <f aca="true" t="shared" si="1" ref="I4:I11">IF(E4&gt;0,$N$13,0)+IF(C4&gt;0,50000,0)+IF(C12&lt;0,50000,0)</f>
        <v>50000</v>
      </c>
      <c r="J4" s="77" t="s">
        <v>86</v>
      </c>
      <c r="K4" s="78"/>
      <c r="L4" s="79"/>
      <c r="M4" s="80">
        <v>10</v>
      </c>
      <c r="N4" s="75">
        <f>N12*25%</f>
        <v>2500000</v>
      </c>
      <c r="P4" s="71">
        <v>40</v>
      </c>
      <c r="Q4" s="58">
        <f>ROUND(P4*18/P3,0)</f>
        <v>27</v>
      </c>
    </row>
    <row r="5" spans="1:17" s="81" customFormat="1" ht="18" customHeight="1">
      <c r="A5" s="378" t="s">
        <v>12</v>
      </c>
      <c r="B5" s="247">
        <v>15.3</v>
      </c>
      <c r="C5" s="72">
        <v>52</v>
      </c>
      <c r="D5" s="73">
        <v>33</v>
      </c>
      <c r="E5" s="74" t="s">
        <v>162</v>
      </c>
      <c r="F5" s="72">
        <v>2</v>
      </c>
      <c r="G5" s="72">
        <v>8</v>
      </c>
      <c r="H5" s="75">
        <f t="shared" si="0"/>
        <v>2650000</v>
      </c>
      <c r="I5" s="76">
        <f t="shared" si="1"/>
        <v>650000</v>
      </c>
      <c r="J5" s="82" t="s">
        <v>87</v>
      </c>
      <c r="K5" s="83"/>
      <c r="L5" s="84"/>
      <c r="M5" s="85">
        <v>8</v>
      </c>
      <c r="N5" s="75">
        <f>N12*20%</f>
        <v>2000000</v>
      </c>
      <c r="P5" s="71">
        <v>41</v>
      </c>
      <c r="Q5" s="58">
        <f>ROUND(P5*18/P3,0)</f>
        <v>27</v>
      </c>
    </row>
    <row r="6" spans="1:17" s="81" customFormat="1" ht="18" customHeight="1">
      <c r="A6" s="378" t="s">
        <v>48</v>
      </c>
      <c r="B6" s="247">
        <v>7.9</v>
      </c>
      <c r="C6" s="72">
        <v>48</v>
      </c>
      <c r="D6" s="73">
        <v>34</v>
      </c>
      <c r="E6" s="88" t="s">
        <v>298</v>
      </c>
      <c r="F6" s="12">
        <v>3</v>
      </c>
      <c r="G6" s="12">
        <v>6</v>
      </c>
      <c r="H6" s="75">
        <v>2750000</v>
      </c>
      <c r="I6" s="76">
        <f t="shared" si="1"/>
        <v>650000</v>
      </c>
      <c r="J6" s="82" t="s">
        <v>88</v>
      </c>
      <c r="K6" s="83"/>
      <c r="L6" s="84"/>
      <c r="M6" s="85">
        <v>6</v>
      </c>
      <c r="N6" s="75">
        <f>N12*15%</f>
        <v>1500000</v>
      </c>
      <c r="P6" s="71">
        <v>42</v>
      </c>
      <c r="Q6" s="58">
        <f>ROUND(P6*18/P3,0)</f>
        <v>28</v>
      </c>
    </row>
    <row r="7" spans="1:17" s="81" customFormat="1" ht="18" customHeight="1">
      <c r="A7" s="378" t="s">
        <v>28</v>
      </c>
      <c r="B7" s="247">
        <v>11.3</v>
      </c>
      <c r="C7" s="72">
        <v>48</v>
      </c>
      <c r="D7" s="73">
        <v>31</v>
      </c>
      <c r="E7" s="88"/>
      <c r="F7" s="72">
        <v>4</v>
      </c>
      <c r="G7" s="72">
        <v>5</v>
      </c>
      <c r="H7" s="75">
        <f t="shared" si="0"/>
        <v>1250000</v>
      </c>
      <c r="I7" s="76">
        <f t="shared" si="1"/>
        <v>50000</v>
      </c>
      <c r="J7" s="82" t="s">
        <v>89</v>
      </c>
      <c r="K7" s="83"/>
      <c r="L7" s="84"/>
      <c r="M7" s="85">
        <v>5</v>
      </c>
      <c r="N7" s="75">
        <f>N12*12%</f>
        <v>1200000</v>
      </c>
      <c r="O7" s="86"/>
      <c r="P7" s="71">
        <v>43</v>
      </c>
      <c r="Q7" s="58">
        <f>ROUND(P7*18/P3,0)</f>
        <v>29</v>
      </c>
    </row>
    <row r="8" spans="1:17" s="81" customFormat="1" ht="18" customHeight="1">
      <c r="A8" s="378" t="s">
        <v>34</v>
      </c>
      <c r="B8" s="247">
        <v>15.6</v>
      </c>
      <c r="C8" s="72">
        <v>48</v>
      </c>
      <c r="D8" s="73">
        <v>35</v>
      </c>
      <c r="E8" s="74"/>
      <c r="F8" s="72">
        <v>5</v>
      </c>
      <c r="G8" s="72">
        <v>4</v>
      </c>
      <c r="H8" s="75">
        <f t="shared" si="0"/>
        <v>1050000</v>
      </c>
      <c r="I8" s="76">
        <f t="shared" si="1"/>
        <v>50000</v>
      </c>
      <c r="J8" s="82" t="s">
        <v>90</v>
      </c>
      <c r="K8" s="83"/>
      <c r="L8" s="84"/>
      <c r="M8" s="85">
        <v>4</v>
      </c>
      <c r="N8" s="75">
        <f>N12*10%</f>
        <v>1000000</v>
      </c>
      <c r="P8" s="71">
        <v>44</v>
      </c>
      <c r="Q8" s="58">
        <f>ROUND(P8*18/P3,0)</f>
        <v>29</v>
      </c>
    </row>
    <row r="9" spans="1:17" s="81" customFormat="1" ht="18" customHeight="1">
      <c r="A9" s="378" t="s">
        <v>166</v>
      </c>
      <c r="B9" s="247">
        <v>15.3</v>
      </c>
      <c r="C9" s="72">
        <v>47</v>
      </c>
      <c r="D9" s="73">
        <v>35</v>
      </c>
      <c r="E9" s="74">
        <v>2.8</v>
      </c>
      <c r="F9" s="89">
        <v>6</v>
      </c>
      <c r="G9" s="89">
        <v>3</v>
      </c>
      <c r="H9" s="75">
        <f t="shared" si="0"/>
        <v>1450000</v>
      </c>
      <c r="I9" s="76">
        <f t="shared" si="1"/>
        <v>650000</v>
      </c>
      <c r="J9" s="82" t="s">
        <v>91</v>
      </c>
      <c r="K9" s="83"/>
      <c r="L9" s="84"/>
      <c r="M9" s="85">
        <v>3</v>
      </c>
      <c r="N9" s="75">
        <f>N12*8%</f>
        <v>800000</v>
      </c>
      <c r="P9" s="71">
        <v>45</v>
      </c>
      <c r="Q9" s="58">
        <f>ROUND(P9*18/P3,0)</f>
        <v>30</v>
      </c>
    </row>
    <row r="10" spans="1:17" s="81" customFormat="1" ht="18" customHeight="1">
      <c r="A10" s="378" t="s">
        <v>36</v>
      </c>
      <c r="B10" s="247">
        <v>18.5</v>
      </c>
      <c r="C10" s="73">
        <v>46</v>
      </c>
      <c r="D10" s="73">
        <v>34</v>
      </c>
      <c r="E10" s="74"/>
      <c r="F10" s="72">
        <v>7</v>
      </c>
      <c r="G10" s="72">
        <v>2</v>
      </c>
      <c r="H10" s="75">
        <f t="shared" si="0"/>
        <v>650000</v>
      </c>
      <c r="I10" s="76">
        <f t="shared" si="1"/>
        <v>50000</v>
      </c>
      <c r="J10" s="82" t="s">
        <v>92</v>
      </c>
      <c r="K10" s="83"/>
      <c r="L10" s="84"/>
      <c r="M10" s="85">
        <v>2</v>
      </c>
      <c r="N10" s="75">
        <f>N12*6%</f>
        <v>600000</v>
      </c>
      <c r="P10" s="71">
        <v>46</v>
      </c>
      <c r="Q10" s="58">
        <f>ROUND(P10*18/P3,0)</f>
        <v>31</v>
      </c>
    </row>
    <row r="11" spans="1:17" s="81" customFormat="1" ht="18" customHeight="1">
      <c r="A11" s="378" t="s">
        <v>10</v>
      </c>
      <c r="B11" s="247">
        <v>14.2</v>
      </c>
      <c r="C11" s="72">
        <v>44</v>
      </c>
      <c r="D11" s="73">
        <v>33</v>
      </c>
      <c r="E11" s="74"/>
      <c r="F11" s="72">
        <v>8</v>
      </c>
      <c r="G11" s="72">
        <v>1</v>
      </c>
      <c r="H11" s="75">
        <f t="shared" si="0"/>
        <v>450000</v>
      </c>
      <c r="I11" s="76">
        <f t="shared" si="1"/>
        <v>50000</v>
      </c>
      <c r="J11" s="82" t="s">
        <v>93</v>
      </c>
      <c r="K11" s="83"/>
      <c r="L11" s="84"/>
      <c r="M11" s="85">
        <v>1</v>
      </c>
      <c r="N11" s="75">
        <f>N12*4%</f>
        <v>400000</v>
      </c>
      <c r="P11" s="71">
        <v>47</v>
      </c>
      <c r="Q11" s="58">
        <f>ROUND(P11*18/P3,0)</f>
        <v>31</v>
      </c>
    </row>
    <row r="12" spans="1:17" s="81" customFormat="1" ht="18" customHeight="1">
      <c r="A12" s="378" t="s">
        <v>22</v>
      </c>
      <c r="B12" s="247">
        <v>12.6</v>
      </c>
      <c r="C12" s="72">
        <v>43</v>
      </c>
      <c r="D12" s="73">
        <v>32</v>
      </c>
      <c r="E12" s="74"/>
      <c r="F12" s="72"/>
      <c r="G12" s="72"/>
      <c r="H12" s="75">
        <f aca="true" t="shared" si="2" ref="H12:H28">I12</f>
        <v>50000</v>
      </c>
      <c r="I12" s="76">
        <f aca="true" t="shared" si="3" ref="I12:I28">IF(E12&gt;0,$N$13,0)+IF(C12&gt;0,50000,0)+IF(C12&lt;0,50000,0)</f>
        <v>50000</v>
      </c>
      <c r="J12" s="90" t="s">
        <v>94</v>
      </c>
      <c r="K12" s="83"/>
      <c r="L12" s="84"/>
      <c r="M12" s="85"/>
      <c r="N12" s="91">
        <v>10000000</v>
      </c>
      <c r="P12" s="71">
        <v>48</v>
      </c>
      <c r="Q12" s="58">
        <f>ROUND(P12*18/P3,0)</f>
        <v>32</v>
      </c>
    </row>
    <row r="13" spans="1:17" s="81" customFormat="1" ht="18" customHeight="1">
      <c r="A13" s="378" t="s">
        <v>38</v>
      </c>
      <c r="B13" s="247">
        <v>13.6</v>
      </c>
      <c r="C13" s="12">
        <v>39</v>
      </c>
      <c r="D13" s="73">
        <v>37</v>
      </c>
      <c r="E13" s="88">
        <v>5.34</v>
      </c>
      <c r="F13" s="72"/>
      <c r="G13" s="72"/>
      <c r="H13" s="75">
        <f t="shared" si="2"/>
        <v>650000</v>
      </c>
      <c r="I13" s="76">
        <f t="shared" si="3"/>
        <v>650000</v>
      </c>
      <c r="J13" s="93" t="s">
        <v>95</v>
      </c>
      <c r="K13" s="94"/>
      <c r="L13" s="95"/>
      <c r="M13" s="96">
        <v>1</v>
      </c>
      <c r="N13" s="97">
        <f>N10</f>
        <v>600000</v>
      </c>
      <c r="P13" s="71">
        <v>49</v>
      </c>
      <c r="Q13" s="58">
        <f>ROUND(P13*18/P3,0)</f>
        <v>33</v>
      </c>
    </row>
    <row r="14" spans="1:17" s="81" customFormat="1" ht="18" customHeight="1">
      <c r="A14" s="378" t="s">
        <v>42</v>
      </c>
      <c r="B14" s="247">
        <v>16.1</v>
      </c>
      <c r="C14" s="92">
        <v>32</v>
      </c>
      <c r="D14" s="73">
        <v>38</v>
      </c>
      <c r="E14" s="74">
        <v>15.49</v>
      </c>
      <c r="F14" s="72"/>
      <c r="G14" s="72"/>
      <c r="H14" s="75">
        <f t="shared" si="2"/>
        <v>650000</v>
      </c>
      <c r="I14" s="76">
        <f t="shared" si="3"/>
        <v>650000</v>
      </c>
      <c r="J14" s="98"/>
      <c r="K14" s="94"/>
      <c r="L14" s="94"/>
      <c r="M14" s="99"/>
      <c r="N14" s="100"/>
      <c r="P14" s="71">
        <v>50</v>
      </c>
      <c r="Q14" s="58">
        <f>ROUND(P14*18/P3,0)</f>
        <v>33</v>
      </c>
    </row>
    <row r="15" spans="1:17" s="81" customFormat="1" ht="18" customHeight="1">
      <c r="A15" s="378" t="s">
        <v>14</v>
      </c>
      <c r="B15" s="247">
        <v>11.4</v>
      </c>
      <c r="C15" s="73" t="s">
        <v>222</v>
      </c>
      <c r="D15" s="73"/>
      <c r="E15" s="88"/>
      <c r="F15" s="72"/>
      <c r="G15" s="72"/>
      <c r="H15" s="75">
        <f t="shared" si="2"/>
        <v>50000</v>
      </c>
      <c r="I15" s="76">
        <f t="shared" si="3"/>
        <v>50000</v>
      </c>
      <c r="J15" s="101"/>
      <c r="K15" s="102"/>
      <c r="L15" s="102"/>
      <c r="M15" s="103"/>
      <c r="N15" s="104"/>
      <c r="P15" s="71">
        <v>51</v>
      </c>
      <c r="Q15" s="58">
        <f>ROUND(P15*18/P3,0)</f>
        <v>34</v>
      </c>
    </row>
    <row r="16" spans="1:17" s="81" customFormat="1" ht="18" customHeight="1">
      <c r="A16" s="378" t="s">
        <v>52</v>
      </c>
      <c r="B16" s="247">
        <v>11.7</v>
      </c>
      <c r="C16" s="73" t="s">
        <v>222</v>
      </c>
      <c r="D16" s="73"/>
      <c r="E16" s="74"/>
      <c r="F16" s="12"/>
      <c r="G16" s="12"/>
      <c r="H16" s="75">
        <f t="shared" si="2"/>
        <v>50000</v>
      </c>
      <c r="I16" s="76">
        <f t="shared" si="3"/>
        <v>50000</v>
      </c>
      <c r="P16" s="71">
        <v>52</v>
      </c>
      <c r="Q16" s="58">
        <f>ROUND(P16*18/P3,0)</f>
        <v>35</v>
      </c>
    </row>
    <row r="17" spans="1:17" s="81" customFormat="1" ht="18" customHeight="1">
      <c r="A17" s="378" t="s">
        <v>24</v>
      </c>
      <c r="B17" s="247">
        <v>13.6</v>
      </c>
      <c r="C17" s="73" t="s">
        <v>222</v>
      </c>
      <c r="D17" s="73"/>
      <c r="E17" s="88"/>
      <c r="F17" s="12"/>
      <c r="G17" s="12"/>
      <c r="H17" s="75">
        <f t="shared" si="2"/>
        <v>50000</v>
      </c>
      <c r="I17" s="76">
        <f t="shared" si="3"/>
        <v>50000</v>
      </c>
      <c r="O17" s="86"/>
      <c r="P17" s="71">
        <v>53</v>
      </c>
      <c r="Q17" s="58">
        <f>ROUND(P17*18/P3,0)</f>
        <v>35</v>
      </c>
    </row>
    <row r="18" spans="1:17" s="81" customFormat="1" ht="18" customHeight="1">
      <c r="A18" s="378" t="s">
        <v>32</v>
      </c>
      <c r="B18" s="247">
        <v>13.7</v>
      </c>
      <c r="C18" s="73" t="s">
        <v>222</v>
      </c>
      <c r="D18" s="73"/>
      <c r="E18" s="74"/>
      <c r="F18" s="72"/>
      <c r="G18" s="72"/>
      <c r="H18" s="75">
        <f t="shared" si="2"/>
        <v>50000</v>
      </c>
      <c r="I18" s="76">
        <f t="shared" si="3"/>
        <v>50000</v>
      </c>
      <c r="J18" s="8"/>
      <c r="K18" s="8"/>
      <c r="L18" s="8"/>
      <c r="M18" s="8"/>
      <c r="N18" s="8"/>
      <c r="O18" s="87"/>
      <c r="P18" s="71">
        <v>54</v>
      </c>
      <c r="Q18" s="58">
        <f>ROUND(P18*18/P3,0)</f>
        <v>36</v>
      </c>
    </row>
    <row r="19" spans="1:17" s="81" customFormat="1" ht="18" customHeight="1">
      <c r="A19" s="378" t="s">
        <v>8</v>
      </c>
      <c r="B19" s="247">
        <v>21</v>
      </c>
      <c r="C19" s="73" t="s">
        <v>222</v>
      </c>
      <c r="D19" s="73"/>
      <c r="E19" s="88"/>
      <c r="F19" s="72"/>
      <c r="G19" s="72"/>
      <c r="H19" s="75">
        <f t="shared" si="2"/>
        <v>50000</v>
      </c>
      <c r="I19" s="76">
        <f t="shared" si="3"/>
        <v>50000</v>
      </c>
      <c r="J19" s="8"/>
      <c r="K19" s="8"/>
      <c r="L19" s="8"/>
      <c r="M19" s="8"/>
      <c r="N19" s="8"/>
      <c r="O19" s="87"/>
      <c r="P19" s="71">
        <v>55</v>
      </c>
      <c r="Q19" s="58">
        <f>ROUND(P19*18/P3,0)</f>
        <v>37</v>
      </c>
    </row>
    <row r="20" spans="1:17" s="57" customFormat="1" ht="18" customHeight="1">
      <c r="A20" s="378" t="s">
        <v>40</v>
      </c>
      <c r="B20" s="247">
        <v>22.1</v>
      </c>
      <c r="C20" s="73" t="s">
        <v>222</v>
      </c>
      <c r="D20" s="73"/>
      <c r="E20" s="74"/>
      <c r="F20" s="12"/>
      <c r="G20" s="12"/>
      <c r="H20" s="75">
        <f t="shared" si="2"/>
        <v>50000</v>
      </c>
      <c r="I20" s="76">
        <f t="shared" si="3"/>
        <v>50000</v>
      </c>
      <c r="J20" s="8"/>
      <c r="K20" s="8"/>
      <c r="L20" s="8"/>
      <c r="M20" s="8"/>
      <c r="N20" s="8"/>
      <c r="P20" s="71">
        <v>56</v>
      </c>
      <c r="Q20" s="58">
        <f>ROUND(P20*18/P3,0)</f>
        <v>37</v>
      </c>
    </row>
    <row r="21" spans="1:17" s="57" customFormat="1" ht="18" customHeight="1">
      <c r="A21" s="378" t="s">
        <v>46</v>
      </c>
      <c r="B21" s="247">
        <v>22.1</v>
      </c>
      <c r="C21" s="73" t="s">
        <v>222</v>
      </c>
      <c r="D21" s="73"/>
      <c r="E21" s="74"/>
      <c r="F21" s="12"/>
      <c r="G21" s="12"/>
      <c r="H21" s="75">
        <f t="shared" si="2"/>
        <v>50000</v>
      </c>
      <c r="I21" s="76">
        <f t="shared" si="3"/>
        <v>50000</v>
      </c>
      <c r="J21" s="8"/>
      <c r="K21" s="8"/>
      <c r="L21" s="8"/>
      <c r="M21" s="8"/>
      <c r="N21" s="8"/>
      <c r="P21" s="71">
        <v>57</v>
      </c>
      <c r="Q21" s="58">
        <f>ROUND(P21*18/P3,0)</f>
        <v>38</v>
      </c>
    </row>
    <row r="22" spans="1:17" s="57" customFormat="1" ht="18" customHeight="1">
      <c r="A22" s="378" t="s">
        <v>26</v>
      </c>
      <c r="B22" s="247">
        <v>23.1</v>
      </c>
      <c r="C22" s="73" t="s">
        <v>222</v>
      </c>
      <c r="D22" s="73"/>
      <c r="E22" s="74"/>
      <c r="F22" s="12"/>
      <c r="G22" s="12"/>
      <c r="H22" s="75">
        <f t="shared" si="2"/>
        <v>50000</v>
      </c>
      <c r="I22" s="76">
        <f t="shared" si="3"/>
        <v>50000</v>
      </c>
      <c r="J22" s="8"/>
      <c r="K22" s="8"/>
      <c r="L22" s="8"/>
      <c r="M22" s="8"/>
      <c r="N22" s="8"/>
      <c r="P22" s="71">
        <v>58</v>
      </c>
      <c r="Q22" s="58">
        <f>ROUND(P22*18/P3,0)</f>
        <v>39</v>
      </c>
    </row>
    <row r="23" spans="1:17" s="57" customFormat="1" ht="18" customHeight="1">
      <c r="A23" s="378"/>
      <c r="B23" s="247"/>
      <c r="C23" s="72"/>
      <c r="D23" s="73"/>
      <c r="E23" s="74"/>
      <c r="F23" s="12"/>
      <c r="G23" s="12"/>
      <c r="H23" s="75">
        <f t="shared" si="2"/>
        <v>0</v>
      </c>
      <c r="I23" s="76">
        <f t="shared" si="3"/>
        <v>0</v>
      </c>
      <c r="J23" s="8"/>
      <c r="K23" s="8"/>
      <c r="L23" s="8"/>
      <c r="M23" s="8"/>
      <c r="N23" s="8"/>
      <c r="P23" s="71">
        <v>59</v>
      </c>
      <c r="Q23" s="58">
        <f>ROUND(P23*18/P3,0)</f>
        <v>39</v>
      </c>
    </row>
    <row r="24" spans="1:17" s="57" customFormat="1" ht="18" customHeight="1">
      <c r="A24" s="378"/>
      <c r="B24" s="247"/>
      <c r="C24" s="72"/>
      <c r="D24" s="367" t="s">
        <v>96</v>
      </c>
      <c r="E24" s="74"/>
      <c r="F24" s="12"/>
      <c r="G24" s="12"/>
      <c r="H24" s="75">
        <f t="shared" si="2"/>
        <v>0</v>
      </c>
      <c r="I24" s="76">
        <f t="shared" si="3"/>
        <v>0</v>
      </c>
      <c r="J24" s="8"/>
      <c r="K24" s="8"/>
      <c r="L24" s="8"/>
      <c r="M24" s="8"/>
      <c r="N24" s="8"/>
      <c r="P24" s="71">
        <v>60</v>
      </c>
      <c r="Q24" s="58">
        <f>ROUND(P24*18/P3,0)</f>
        <v>40</v>
      </c>
    </row>
    <row r="25" spans="1:17" s="57" customFormat="1" ht="18" customHeight="1">
      <c r="A25" s="378"/>
      <c r="B25" s="247"/>
      <c r="C25" s="72"/>
      <c r="D25" s="73"/>
      <c r="E25" s="88"/>
      <c r="F25" s="12"/>
      <c r="G25" s="12"/>
      <c r="H25" s="75">
        <f t="shared" si="2"/>
        <v>0</v>
      </c>
      <c r="I25" s="76">
        <f t="shared" si="3"/>
        <v>0</v>
      </c>
      <c r="J25" s="8"/>
      <c r="K25" s="8"/>
      <c r="L25" s="8"/>
      <c r="M25" s="8"/>
      <c r="N25" s="8"/>
      <c r="P25" s="71">
        <v>61</v>
      </c>
      <c r="Q25" s="58">
        <f>ROUND(P25*18/P3,0)</f>
        <v>41</v>
      </c>
    </row>
    <row r="26" spans="1:17" s="57" customFormat="1" ht="18" customHeight="1">
      <c r="A26" s="378"/>
      <c r="B26" s="247"/>
      <c r="C26" s="73"/>
      <c r="D26" s="73"/>
      <c r="E26" s="74"/>
      <c r="F26" s="72"/>
      <c r="G26" s="72"/>
      <c r="H26" s="75">
        <f t="shared" si="2"/>
        <v>0</v>
      </c>
      <c r="I26" s="76">
        <f t="shared" si="3"/>
        <v>0</v>
      </c>
      <c r="J26" s="8"/>
      <c r="K26" s="8"/>
      <c r="L26" s="8"/>
      <c r="M26" s="8"/>
      <c r="N26" s="8"/>
      <c r="P26" s="71">
        <v>62</v>
      </c>
      <c r="Q26" s="58">
        <f>ROUND(P26*18/P3,0)</f>
        <v>41</v>
      </c>
    </row>
    <row r="27" spans="1:17" s="57" customFormat="1" ht="18" customHeight="1">
      <c r="A27" s="378"/>
      <c r="B27" s="247"/>
      <c r="C27" s="73"/>
      <c r="D27" s="73"/>
      <c r="E27" s="74"/>
      <c r="F27" s="72"/>
      <c r="G27" s="72"/>
      <c r="H27" s="75">
        <f>I27</f>
        <v>0</v>
      </c>
      <c r="I27" s="76">
        <f>IF(E27&gt;0,$N$13,0)+IF(C27&gt;0,50000,0)+IF(C27&lt;0,50000,0)</f>
        <v>0</v>
      </c>
      <c r="J27" s="8"/>
      <c r="K27" s="8"/>
      <c r="L27" s="8"/>
      <c r="M27" s="8"/>
      <c r="N27" s="8"/>
      <c r="P27" s="71"/>
      <c r="Q27" s="58"/>
    </row>
    <row r="28" spans="1:14" s="57" customFormat="1" ht="18" customHeight="1">
      <c r="A28" s="378"/>
      <c r="B28" s="247"/>
      <c r="C28" s="72"/>
      <c r="D28" s="105"/>
      <c r="E28" s="88"/>
      <c r="F28" s="72"/>
      <c r="G28" s="72"/>
      <c r="H28" s="75">
        <f t="shared" si="2"/>
        <v>0</v>
      </c>
      <c r="I28" s="76">
        <f t="shared" si="3"/>
        <v>0</v>
      </c>
      <c r="J28" s="8"/>
      <c r="K28" s="8"/>
      <c r="L28" s="8"/>
      <c r="M28" s="8"/>
      <c r="N28" s="8"/>
    </row>
    <row r="29" spans="1:9" ht="24" customHeight="1" thickBot="1">
      <c r="A29" s="1"/>
      <c r="B29" s="3"/>
      <c r="C29" s="106"/>
      <c r="D29" s="107">
        <f>SUM(D4:D28)</f>
        <v>370</v>
      </c>
      <c r="E29" s="106"/>
      <c r="F29" s="3"/>
      <c r="G29" s="108">
        <f>SUM(G4:G28)</f>
        <v>39</v>
      </c>
      <c r="H29" s="108">
        <f>SUM(H4:H28)</f>
        <v>14550000</v>
      </c>
      <c r="I29" s="109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000000000000005" right="0.43000000000000005" top="0.55" bottom="0.55" header="0.51" footer="0.51"/>
  <pageSetup fitToHeight="1" fitToWidth="1" horizontalDpi="300" verticalDpi="300" orientation="landscape" paperSize="9" scale="7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PageLayoutView="0" workbookViewId="0" topLeftCell="A1">
      <selection activeCell="A1" sqref="A1:N29"/>
    </sheetView>
  </sheetViews>
  <sheetFormatPr defaultColWidth="9.140625" defaultRowHeight="12.75"/>
  <cols>
    <col min="1" max="1" width="25.140625" style="54" customWidth="1"/>
    <col min="2" max="2" width="7.8515625" style="55" customWidth="1"/>
    <col min="3" max="3" width="8.421875" style="56" customWidth="1"/>
    <col min="4" max="4" width="6.8515625" style="55" customWidth="1"/>
    <col min="5" max="5" width="8.140625" style="55" customWidth="1"/>
    <col min="6" max="6" width="10.140625" style="55" customWidth="1"/>
    <col min="7" max="7" width="9.140625" style="55" customWidth="1"/>
    <col min="8" max="8" width="13.421875" style="55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" width="9.140625" style="8" customWidth="1"/>
    <col min="17" max="17" width="10.140625" style="8" customWidth="1"/>
    <col min="18" max="16384" width="9.140625" style="8" customWidth="1"/>
  </cols>
  <sheetData>
    <row r="1" spans="2:14" s="57" customFormat="1" ht="43.5" customHeight="1">
      <c r="B1" s="435" t="s">
        <v>142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</row>
    <row r="2" spans="2:17" s="57" customFormat="1" ht="29.25" customHeight="1">
      <c r="B2" s="444" t="s">
        <v>294</v>
      </c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P2" s="110" t="s">
        <v>97</v>
      </c>
      <c r="Q2" s="110" t="s">
        <v>98</v>
      </c>
    </row>
    <row r="3" spans="1:17" s="70" customFormat="1" ht="27" customHeight="1">
      <c r="A3" s="59" t="s">
        <v>77</v>
      </c>
      <c r="B3" s="60" t="s">
        <v>78</v>
      </c>
      <c r="C3" s="60" t="s">
        <v>79</v>
      </c>
      <c r="D3" s="60" t="s">
        <v>80</v>
      </c>
      <c r="E3" s="60" t="s">
        <v>81</v>
      </c>
      <c r="F3" s="61" t="s">
        <v>82</v>
      </c>
      <c r="G3" s="62" t="s">
        <v>83</v>
      </c>
      <c r="H3" s="63" t="s">
        <v>84</v>
      </c>
      <c r="I3" s="64"/>
      <c r="J3" s="65" t="s">
        <v>82</v>
      </c>
      <c r="K3" s="66"/>
      <c r="L3" s="67"/>
      <c r="M3" s="68" t="s">
        <v>83</v>
      </c>
      <c r="N3" s="69" t="s">
        <v>85</v>
      </c>
      <c r="P3" s="111">
        <v>11</v>
      </c>
      <c r="Q3" s="58" t="s">
        <v>76</v>
      </c>
    </row>
    <row r="4" spans="1:17" s="81" customFormat="1" ht="18" customHeight="1">
      <c r="A4" s="378" t="s">
        <v>22</v>
      </c>
      <c r="B4" s="247">
        <v>12.6</v>
      </c>
      <c r="C4" s="73">
        <v>25</v>
      </c>
      <c r="D4" s="73">
        <v>28</v>
      </c>
      <c r="E4" s="74"/>
      <c r="F4" s="72">
        <v>1</v>
      </c>
      <c r="G4" s="72">
        <v>10</v>
      </c>
      <c r="H4" s="75">
        <f aca="true" t="shared" si="0" ref="H4:H11">N4+I4</f>
        <v>2300000</v>
      </c>
      <c r="I4" s="76">
        <f aca="true" t="shared" si="1" ref="I4:I11">IF(E4&gt;0,$N$13,0)+IF(C4&gt;0,50000,0)+IF(C12&lt;0,50000,0)</f>
        <v>50000</v>
      </c>
      <c r="J4" s="77" t="s">
        <v>86</v>
      </c>
      <c r="K4" s="78"/>
      <c r="L4" s="79"/>
      <c r="M4" s="80">
        <v>10</v>
      </c>
      <c r="N4" s="75">
        <f>N12*25%</f>
        <v>2250000</v>
      </c>
      <c r="P4" s="71">
        <v>12</v>
      </c>
      <c r="Q4" s="58">
        <f>ROUND(P4*18/P3,0)</f>
        <v>20</v>
      </c>
    </row>
    <row r="5" spans="1:17" s="81" customFormat="1" ht="18" customHeight="1">
      <c r="A5" s="378" t="s">
        <v>30</v>
      </c>
      <c r="B5" s="247">
        <v>10.1</v>
      </c>
      <c r="C5" s="73">
        <v>23</v>
      </c>
      <c r="D5" s="73">
        <v>28</v>
      </c>
      <c r="E5" s="74"/>
      <c r="F5" s="72">
        <v>2</v>
      </c>
      <c r="G5" s="72">
        <v>8</v>
      </c>
      <c r="H5" s="75">
        <f t="shared" si="0"/>
        <v>1850000</v>
      </c>
      <c r="I5" s="76">
        <f t="shared" si="1"/>
        <v>50000</v>
      </c>
      <c r="J5" s="82" t="s">
        <v>87</v>
      </c>
      <c r="K5" s="83"/>
      <c r="L5" s="84"/>
      <c r="M5" s="85">
        <v>8</v>
      </c>
      <c r="N5" s="75">
        <f>N12*20%</f>
        <v>1800000</v>
      </c>
      <c r="P5" s="71">
        <v>13</v>
      </c>
      <c r="Q5" s="58">
        <f>ROUND(P5*18/P3,0)</f>
        <v>21</v>
      </c>
    </row>
    <row r="6" spans="1:17" s="81" customFormat="1" ht="18" customHeight="1">
      <c r="A6" s="378" t="s">
        <v>28</v>
      </c>
      <c r="B6" s="247">
        <v>11.3</v>
      </c>
      <c r="C6" s="72">
        <v>21</v>
      </c>
      <c r="D6" s="73">
        <v>25</v>
      </c>
      <c r="E6" s="74"/>
      <c r="F6" s="12">
        <v>3</v>
      </c>
      <c r="G6" s="12">
        <v>6</v>
      </c>
      <c r="H6" s="75">
        <f t="shared" si="0"/>
        <v>1400000</v>
      </c>
      <c r="I6" s="76">
        <f t="shared" si="1"/>
        <v>50000</v>
      </c>
      <c r="J6" s="82" t="s">
        <v>88</v>
      </c>
      <c r="K6" s="83"/>
      <c r="L6" s="84"/>
      <c r="M6" s="85">
        <v>6</v>
      </c>
      <c r="N6" s="75">
        <f>N12*15%</f>
        <v>1350000</v>
      </c>
      <c r="P6" s="71">
        <v>14</v>
      </c>
      <c r="Q6" s="58">
        <f>ROUND(P6*18/P3,0)</f>
        <v>23</v>
      </c>
    </row>
    <row r="7" spans="1:17" s="81" customFormat="1" ht="18" customHeight="1">
      <c r="A7" s="378" t="s">
        <v>8</v>
      </c>
      <c r="B7" s="247">
        <v>21</v>
      </c>
      <c r="C7" s="72">
        <v>20</v>
      </c>
      <c r="D7" s="92">
        <v>36</v>
      </c>
      <c r="E7" s="88"/>
      <c r="F7" s="72">
        <v>4</v>
      </c>
      <c r="G7" s="72">
        <v>5</v>
      </c>
      <c r="H7" s="75">
        <f t="shared" si="0"/>
        <v>1130000</v>
      </c>
      <c r="I7" s="76">
        <f t="shared" si="1"/>
        <v>50000</v>
      </c>
      <c r="J7" s="82" t="s">
        <v>89</v>
      </c>
      <c r="K7" s="83"/>
      <c r="L7" s="84"/>
      <c r="M7" s="85">
        <v>5</v>
      </c>
      <c r="N7" s="75">
        <f>N12*12%</f>
        <v>1080000</v>
      </c>
      <c r="O7" s="86"/>
      <c r="P7" s="71">
        <v>15</v>
      </c>
      <c r="Q7" s="58">
        <f>ROUND(P7*18/P3,0)</f>
        <v>25</v>
      </c>
    </row>
    <row r="8" spans="1:17" s="81" customFormat="1" ht="18" customHeight="1">
      <c r="A8" s="378" t="s">
        <v>38</v>
      </c>
      <c r="B8" s="247">
        <v>13.6</v>
      </c>
      <c r="C8" s="73">
        <v>19</v>
      </c>
      <c r="D8" s="73">
        <v>36</v>
      </c>
      <c r="E8" s="74">
        <v>3.22</v>
      </c>
      <c r="F8" s="72">
        <v>5</v>
      </c>
      <c r="G8" s="72">
        <v>4</v>
      </c>
      <c r="H8" s="75">
        <v>1050000</v>
      </c>
      <c r="I8" s="76">
        <f t="shared" si="1"/>
        <v>590000</v>
      </c>
      <c r="J8" s="82" t="s">
        <v>90</v>
      </c>
      <c r="K8" s="83"/>
      <c r="L8" s="84"/>
      <c r="M8" s="85">
        <v>4</v>
      </c>
      <c r="N8" s="75">
        <f>N12*10%</f>
        <v>900000</v>
      </c>
      <c r="P8" s="71">
        <v>16</v>
      </c>
      <c r="Q8" s="58">
        <f>ROUND(P8*18/P3,0)</f>
        <v>26</v>
      </c>
    </row>
    <row r="9" spans="1:17" s="81" customFormat="1" ht="18" customHeight="1">
      <c r="A9" s="378" t="s">
        <v>166</v>
      </c>
      <c r="B9" s="247">
        <v>15.3</v>
      </c>
      <c r="C9" s="72">
        <v>19</v>
      </c>
      <c r="D9" s="92">
        <v>33</v>
      </c>
      <c r="E9" s="88"/>
      <c r="F9" s="89">
        <v>6</v>
      </c>
      <c r="G9" s="89">
        <v>3</v>
      </c>
      <c r="H9" s="75">
        <f t="shared" si="0"/>
        <v>770000</v>
      </c>
      <c r="I9" s="76">
        <f t="shared" si="1"/>
        <v>50000</v>
      </c>
      <c r="J9" s="82" t="s">
        <v>91</v>
      </c>
      <c r="K9" s="83"/>
      <c r="L9" s="84"/>
      <c r="M9" s="85">
        <v>3</v>
      </c>
      <c r="N9" s="75">
        <f>N12*8%</f>
        <v>720000</v>
      </c>
      <c r="P9" s="71">
        <v>17</v>
      </c>
      <c r="Q9" s="58">
        <f>ROUND(P9*18/P3,0)</f>
        <v>28</v>
      </c>
    </row>
    <row r="10" spans="1:17" s="81" customFormat="1" ht="18" customHeight="1">
      <c r="A10" s="378" t="s">
        <v>34</v>
      </c>
      <c r="B10" s="247">
        <v>15.6</v>
      </c>
      <c r="C10" s="72">
        <v>18</v>
      </c>
      <c r="D10" s="73">
        <v>36</v>
      </c>
      <c r="E10" s="74"/>
      <c r="F10" s="72">
        <v>7</v>
      </c>
      <c r="G10" s="72">
        <v>2</v>
      </c>
      <c r="H10" s="75">
        <f t="shared" si="0"/>
        <v>590000</v>
      </c>
      <c r="I10" s="76">
        <f t="shared" si="1"/>
        <v>50000</v>
      </c>
      <c r="J10" s="82" t="s">
        <v>92</v>
      </c>
      <c r="K10" s="83"/>
      <c r="L10" s="84"/>
      <c r="M10" s="85">
        <v>2</v>
      </c>
      <c r="N10" s="75">
        <f>N12*6%</f>
        <v>540000</v>
      </c>
      <c r="P10" s="71">
        <v>18</v>
      </c>
      <c r="Q10" s="58">
        <f>ROUND(P10*18/P3,0)</f>
        <v>29</v>
      </c>
    </row>
    <row r="11" spans="1:17" s="81" customFormat="1" ht="18" customHeight="1">
      <c r="A11" s="378" t="s">
        <v>148</v>
      </c>
      <c r="B11" s="247">
        <v>9.6</v>
      </c>
      <c r="C11" s="73">
        <v>17</v>
      </c>
      <c r="D11" s="73">
        <v>34</v>
      </c>
      <c r="E11" s="74"/>
      <c r="F11" s="72">
        <v>8</v>
      </c>
      <c r="G11" s="72">
        <v>1</v>
      </c>
      <c r="H11" s="75">
        <f t="shared" si="0"/>
        <v>410000</v>
      </c>
      <c r="I11" s="76">
        <f t="shared" si="1"/>
        <v>50000</v>
      </c>
      <c r="J11" s="82" t="s">
        <v>93</v>
      </c>
      <c r="K11" s="83"/>
      <c r="L11" s="84"/>
      <c r="M11" s="85">
        <v>1</v>
      </c>
      <c r="N11" s="75">
        <f>N12*4%</f>
        <v>360000</v>
      </c>
      <c r="P11" s="71">
        <v>19</v>
      </c>
      <c r="Q11" s="58">
        <f>ROUND(P11*18/P3,0)</f>
        <v>31</v>
      </c>
    </row>
    <row r="12" spans="1:17" s="81" customFormat="1" ht="18" customHeight="1">
      <c r="A12" s="378" t="s">
        <v>10</v>
      </c>
      <c r="B12" s="247">
        <v>14.2</v>
      </c>
      <c r="C12" s="72">
        <v>17</v>
      </c>
      <c r="D12" s="73">
        <v>34</v>
      </c>
      <c r="E12" s="74"/>
      <c r="F12" s="72"/>
      <c r="G12" s="72"/>
      <c r="H12" s="75">
        <f aca="true" t="shared" si="2" ref="H12:H28">I12</f>
        <v>50000</v>
      </c>
      <c r="I12" s="76">
        <f aca="true" t="shared" si="3" ref="I12:I28">IF(E12&gt;0,$N$13,0)+IF(C12&gt;0,50000,0)+IF(C12&lt;0,50000,0)</f>
        <v>50000</v>
      </c>
      <c r="J12" s="90" t="s">
        <v>94</v>
      </c>
      <c r="K12" s="83"/>
      <c r="L12" s="84"/>
      <c r="M12" s="85"/>
      <c r="N12" s="91">
        <v>9000000</v>
      </c>
      <c r="P12" s="71">
        <v>20</v>
      </c>
      <c r="Q12" s="58">
        <f>ROUND(P12*18/P3,0)</f>
        <v>33</v>
      </c>
    </row>
    <row r="13" spans="1:17" s="81" customFormat="1" ht="18" customHeight="1">
      <c r="A13" s="378" t="s">
        <v>42</v>
      </c>
      <c r="B13" s="247">
        <v>16.1</v>
      </c>
      <c r="C13" s="72">
        <v>16</v>
      </c>
      <c r="D13" s="73">
        <v>41</v>
      </c>
      <c r="E13" s="74">
        <v>0.99</v>
      </c>
      <c r="F13" s="72"/>
      <c r="G13" s="72"/>
      <c r="H13" s="75">
        <f t="shared" si="2"/>
        <v>590000</v>
      </c>
      <c r="I13" s="76">
        <f t="shared" si="3"/>
        <v>590000</v>
      </c>
      <c r="J13" s="93" t="s">
        <v>95</v>
      </c>
      <c r="K13" s="94"/>
      <c r="L13" s="95"/>
      <c r="M13" s="96">
        <v>1</v>
      </c>
      <c r="N13" s="97">
        <f>N10</f>
        <v>540000</v>
      </c>
      <c r="P13" s="71">
        <v>21</v>
      </c>
      <c r="Q13" s="58">
        <f>ROUND(P13*18/P3,0)</f>
        <v>34</v>
      </c>
    </row>
    <row r="14" spans="1:17" s="81" customFormat="1" ht="18" customHeight="1">
      <c r="A14" s="378" t="s">
        <v>46</v>
      </c>
      <c r="B14" s="247">
        <v>22.1</v>
      </c>
      <c r="C14" s="72">
        <v>15</v>
      </c>
      <c r="D14" s="73">
        <v>41</v>
      </c>
      <c r="E14" s="88"/>
      <c r="F14" s="72"/>
      <c r="G14" s="72"/>
      <c r="H14" s="75">
        <f t="shared" si="2"/>
        <v>50000</v>
      </c>
      <c r="I14" s="76">
        <f t="shared" si="3"/>
        <v>50000</v>
      </c>
      <c r="J14" s="98"/>
      <c r="K14" s="94"/>
      <c r="L14" s="94"/>
      <c r="M14" s="99"/>
      <c r="N14" s="100"/>
      <c r="P14" s="71">
        <v>22</v>
      </c>
      <c r="Q14" s="58">
        <f>ROUND(P14*18/P3,0)</f>
        <v>36</v>
      </c>
    </row>
    <row r="15" spans="1:17" s="81" customFormat="1" ht="18" customHeight="1">
      <c r="A15" s="378" t="s">
        <v>26</v>
      </c>
      <c r="B15" s="247">
        <v>23.1</v>
      </c>
      <c r="C15" s="12">
        <v>15</v>
      </c>
      <c r="D15" s="73">
        <v>36</v>
      </c>
      <c r="E15" s="88"/>
      <c r="F15" s="72"/>
      <c r="G15" s="72"/>
      <c r="H15" s="75">
        <f t="shared" si="2"/>
        <v>50000</v>
      </c>
      <c r="I15" s="76">
        <f t="shared" si="3"/>
        <v>50000</v>
      </c>
      <c r="J15" s="101"/>
      <c r="K15" s="102"/>
      <c r="L15" s="102"/>
      <c r="M15" s="103"/>
      <c r="N15" s="104"/>
      <c r="P15" s="71">
        <v>23</v>
      </c>
      <c r="Q15" s="58">
        <f>ROUND(P15*18/P3,0)</f>
        <v>38</v>
      </c>
    </row>
    <row r="16" spans="1:17" s="81" customFormat="1" ht="18" customHeight="1">
      <c r="A16" s="378" t="s">
        <v>40</v>
      </c>
      <c r="B16" s="247">
        <v>22.1</v>
      </c>
      <c r="C16" s="72">
        <v>14</v>
      </c>
      <c r="D16" s="73">
        <v>39</v>
      </c>
      <c r="E16" s="88"/>
      <c r="F16" s="12"/>
      <c r="G16" s="12"/>
      <c r="H16" s="75">
        <f t="shared" si="2"/>
        <v>50000</v>
      </c>
      <c r="I16" s="76">
        <f t="shared" si="3"/>
        <v>50000</v>
      </c>
      <c r="P16" s="71">
        <v>24</v>
      </c>
      <c r="Q16" s="58">
        <f>ROUND(P16*18/P3,0)</f>
        <v>39</v>
      </c>
    </row>
    <row r="17" spans="1:17" s="81" customFormat="1" ht="18" customHeight="1">
      <c r="A17" s="378"/>
      <c r="B17" s="247"/>
      <c r="C17" s="72"/>
      <c r="D17" s="73"/>
      <c r="E17" s="74"/>
      <c r="F17" s="12"/>
      <c r="G17" s="12"/>
      <c r="H17" s="75">
        <f t="shared" si="2"/>
        <v>0</v>
      </c>
      <c r="I17" s="76">
        <f t="shared" si="3"/>
        <v>0</v>
      </c>
      <c r="O17" s="86"/>
      <c r="P17" s="71">
        <v>25</v>
      </c>
      <c r="Q17" s="58">
        <f>ROUND(P17*18/P3,0)</f>
        <v>41</v>
      </c>
    </row>
    <row r="18" spans="1:17" s="81" customFormat="1" ht="18" customHeight="1">
      <c r="A18" s="378"/>
      <c r="B18" s="247"/>
      <c r="C18" s="72"/>
      <c r="D18" s="73"/>
      <c r="E18" s="74"/>
      <c r="F18" s="72"/>
      <c r="G18" s="72"/>
      <c r="H18" s="75">
        <f t="shared" si="2"/>
        <v>0</v>
      </c>
      <c r="I18" s="76">
        <f t="shared" si="3"/>
        <v>0</v>
      </c>
      <c r="J18" s="8"/>
      <c r="K18" s="8"/>
      <c r="L18" s="8"/>
      <c r="M18" s="8"/>
      <c r="N18" s="8"/>
      <c r="O18" s="87"/>
      <c r="P18" s="71">
        <v>26</v>
      </c>
      <c r="Q18" s="58">
        <f>ROUND(P18*18/P3,0)</f>
        <v>43</v>
      </c>
    </row>
    <row r="19" spans="1:17" s="81" customFormat="1" ht="18" customHeight="1">
      <c r="A19" s="378"/>
      <c r="B19" s="247"/>
      <c r="C19" s="72"/>
      <c r="D19" s="73"/>
      <c r="E19" s="88"/>
      <c r="F19" s="72"/>
      <c r="G19" s="72"/>
      <c r="H19" s="75">
        <f t="shared" si="2"/>
        <v>0</v>
      </c>
      <c r="I19" s="76">
        <f t="shared" si="3"/>
        <v>0</v>
      </c>
      <c r="J19" s="8"/>
      <c r="K19" s="8"/>
      <c r="L19" s="8"/>
      <c r="M19" s="8"/>
      <c r="N19" s="8"/>
      <c r="O19" s="87"/>
      <c r="P19" s="71">
        <v>27</v>
      </c>
      <c r="Q19" s="58">
        <f>ROUND(P19*18/P3,0)</f>
        <v>44</v>
      </c>
    </row>
    <row r="20" spans="1:17" s="57" customFormat="1" ht="18" customHeight="1">
      <c r="A20" s="378"/>
      <c r="B20" s="247"/>
      <c r="C20" s="92"/>
      <c r="D20" s="73"/>
      <c r="E20" s="74"/>
      <c r="F20" s="12"/>
      <c r="G20" s="12"/>
      <c r="H20" s="75">
        <f t="shared" si="2"/>
        <v>0</v>
      </c>
      <c r="I20" s="76">
        <f t="shared" si="3"/>
        <v>0</v>
      </c>
      <c r="J20" s="8"/>
      <c r="K20" s="8"/>
      <c r="L20" s="8"/>
      <c r="M20" s="8"/>
      <c r="N20" s="8"/>
      <c r="P20" s="71">
        <v>28</v>
      </c>
      <c r="Q20" s="58">
        <f>ROUND(P20*18/P3,0)</f>
        <v>46</v>
      </c>
    </row>
    <row r="21" spans="1:17" s="57" customFormat="1" ht="18" customHeight="1">
      <c r="A21" s="378"/>
      <c r="B21" s="247"/>
      <c r="C21" s="73"/>
      <c r="D21" s="73"/>
      <c r="E21" s="74"/>
      <c r="F21" s="12"/>
      <c r="G21" s="12"/>
      <c r="H21" s="75">
        <f t="shared" si="2"/>
        <v>0</v>
      </c>
      <c r="I21" s="76">
        <f t="shared" si="3"/>
        <v>0</v>
      </c>
      <c r="J21" s="8"/>
      <c r="K21" s="8"/>
      <c r="L21" s="8"/>
      <c r="M21" s="8"/>
      <c r="N21" s="8"/>
      <c r="P21" s="71">
        <v>29</v>
      </c>
      <c r="Q21" s="58">
        <f>ROUND(P21*18/P3,0)</f>
        <v>47</v>
      </c>
    </row>
    <row r="22" spans="1:17" s="57" customFormat="1" ht="18" customHeight="1">
      <c r="A22" s="378"/>
      <c r="B22" s="247"/>
      <c r="C22" s="72"/>
      <c r="D22" s="73"/>
      <c r="E22" s="88"/>
      <c r="F22" s="12"/>
      <c r="G22" s="12"/>
      <c r="H22" s="75">
        <f t="shared" si="2"/>
        <v>0</v>
      </c>
      <c r="I22" s="76">
        <f t="shared" si="3"/>
        <v>0</v>
      </c>
      <c r="J22" s="8"/>
      <c r="K22" s="8"/>
      <c r="L22" s="8"/>
      <c r="M22" s="8"/>
      <c r="N22" s="8"/>
      <c r="P22" s="71">
        <v>30</v>
      </c>
      <c r="Q22" s="58">
        <f>ROUND(P22*18/P3,0)</f>
        <v>49</v>
      </c>
    </row>
    <row r="23" spans="1:17" s="57" customFormat="1" ht="18" customHeight="1">
      <c r="A23" s="378"/>
      <c r="B23" s="247"/>
      <c r="C23" s="73"/>
      <c r="D23" s="73"/>
      <c r="E23" s="74"/>
      <c r="F23" s="12"/>
      <c r="G23" s="12"/>
      <c r="H23" s="75">
        <f t="shared" si="2"/>
        <v>0</v>
      </c>
      <c r="I23" s="76">
        <f t="shared" si="3"/>
        <v>0</v>
      </c>
      <c r="J23" s="8"/>
      <c r="K23" s="8"/>
      <c r="L23" s="8"/>
      <c r="M23" s="8"/>
      <c r="N23" s="8"/>
      <c r="P23" s="71">
        <v>31</v>
      </c>
      <c r="Q23" s="58">
        <f>ROUND(P23*18/P3,0)</f>
        <v>51</v>
      </c>
    </row>
    <row r="24" spans="1:17" s="57" customFormat="1" ht="18" customHeight="1">
      <c r="A24" s="378"/>
      <c r="B24" s="247"/>
      <c r="C24" s="72"/>
      <c r="E24" s="74"/>
      <c r="F24" s="12"/>
      <c r="G24" s="12"/>
      <c r="H24" s="75">
        <f t="shared" si="2"/>
        <v>0</v>
      </c>
      <c r="I24" s="76">
        <f t="shared" si="3"/>
        <v>0</v>
      </c>
      <c r="J24" s="8"/>
      <c r="K24" s="8"/>
      <c r="L24" s="8"/>
      <c r="M24" s="8"/>
      <c r="N24" s="8"/>
      <c r="P24" s="71">
        <v>32</v>
      </c>
      <c r="Q24" s="58">
        <f>ROUND(P24*18/P3,0)</f>
        <v>52</v>
      </c>
    </row>
    <row r="25" spans="1:14" s="57" customFormat="1" ht="18" customHeight="1">
      <c r="A25" s="378"/>
      <c r="B25" s="247"/>
      <c r="C25" s="72"/>
      <c r="D25" s="73"/>
      <c r="E25" s="74"/>
      <c r="F25" s="12"/>
      <c r="G25" s="12"/>
      <c r="H25" s="75">
        <f t="shared" si="2"/>
        <v>0</v>
      </c>
      <c r="I25" s="76">
        <f>IF(E25&gt;0,$N$13,0)+IF(C25&gt;0,50000,0)+IF(C25&lt;0,50000,0)</f>
        <v>0</v>
      </c>
      <c r="J25" s="8"/>
      <c r="K25" s="8"/>
      <c r="L25" s="8"/>
      <c r="M25" s="8"/>
      <c r="N25" s="8"/>
    </row>
    <row r="26" spans="1:14" s="57" customFormat="1" ht="18" customHeight="1">
      <c r="A26" s="378"/>
      <c r="B26" s="247"/>
      <c r="C26" s="72"/>
      <c r="D26" s="105" t="s">
        <v>96</v>
      </c>
      <c r="E26" s="88"/>
      <c r="F26" s="72"/>
      <c r="G26" s="72"/>
      <c r="H26" s="75">
        <f t="shared" si="2"/>
        <v>0</v>
      </c>
      <c r="I26" s="76">
        <f t="shared" si="3"/>
        <v>0</v>
      </c>
      <c r="J26" s="8"/>
      <c r="K26" s="8"/>
      <c r="L26" s="8"/>
      <c r="M26" s="8"/>
      <c r="N26" s="8"/>
    </row>
    <row r="27" spans="1:14" s="57" customFormat="1" ht="18" customHeight="1">
      <c r="A27" s="152"/>
      <c r="B27" s="247"/>
      <c r="C27" s="72"/>
      <c r="D27" s="73"/>
      <c r="E27" s="88"/>
      <c r="F27" s="72"/>
      <c r="G27" s="72"/>
      <c r="H27" s="75">
        <f>I27</f>
        <v>0</v>
      </c>
      <c r="I27" s="76">
        <f>IF(E27&gt;0,$N$13,0)+IF(C27&gt;0,50000,0)+IF(C27&lt;0,50000,0)</f>
        <v>0</v>
      </c>
      <c r="J27" s="8"/>
      <c r="K27" s="8"/>
      <c r="L27" s="8"/>
      <c r="M27" s="8"/>
      <c r="N27" s="8"/>
    </row>
    <row r="28" spans="1:14" s="57" customFormat="1" ht="18" customHeight="1">
      <c r="A28" s="152"/>
      <c r="B28" s="247"/>
      <c r="C28" s="72"/>
      <c r="D28" s="73"/>
      <c r="E28" s="74"/>
      <c r="F28" s="72"/>
      <c r="G28" s="72"/>
      <c r="H28" s="75">
        <f t="shared" si="2"/>
        <v>0</v>
      </c>
      <c r="I28" s="76">
        <f t="shared" si="3"/>
        <v>0</v>
      </c>
      <c r="J28" s="8"/>
      <c r="K28" s="8"/>
      <c r="L28" s="8"/>
      <c r="M28" s="8"/>
      <c r="N28" s="8"/>
    </row>
    <row r="29" spans="1:9" ht="24" customHeight="1" thickBot="1">
      <c r="A29" s="1"/>
      <c r="B29" s="3"/>
      <c r="C29" s="106"/>
      <c r="D29" s="107">
        <f>SUM(D4:D28)</f>
        <v>447</v>
      </c>
      <c r="E29" s="106"/>
      <c r="F29" s="3"/>
      <c r="G29" s="108">
        <f>SUM(G4:G28)</f>
        <v>39</v>
      </c>
      <c r="H29" s="108">
        <f>SUM(H4:H28)</f>
        <v>10290000</v>
      </c>
      <c r="I29" s="109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000000000000005" right="0.43000000000000005" top="0.55" bottom="0.55" header="0.51" footer="0.51"/>
  <pageSetup fitToHeight="1" fitToWidth="1" horizontalDpi="300" verticalDpi="300" orientation="landscape" paperSize="9" scale="9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PageLayoutView="0" workbookViewId="0" topLeftCell="A1">
      <selection activeCell="A1" sqref="A1:N28"/>
    </sheetView>
  </sheetViews>
  <sheetFormatPr defaultColWidth="9.140625" defaultRowHeight="12.75"/>
  <cols>
    <col min="1" max="1" width="25.140625" style="54" customWidth="1"/>
    <col min="2" max="2" width="7.8515625" style="55" customWidth="1"/>
    <col min="3" max="3" width="8.421875" style="56" customWidth="1"/>
    <col min="4" max="4" width="6.8515625" style="55" customWidth="1"/>
    <col min="5" max="5" width="8.140625" style="55" customWidth="1"/>
    <col min="6" max="6" width="10.140625" style="55" customWidth="1"/>
    <col min="7" max="7" width="9.140625" style="55" customWidth="1"/>
    <col min="8" max="8" width="13.421875" style="55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57" customFormat="1" ht="43.5" customHeight="1">
      <c r="B1" s="435" t="s">
        <v>290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</row>
    <row r="2" spans="2:17" s="57" customFormat="1" ht="29.25" customHeight="1">
      <c r="B2" s="444" t="s">
        <v>291</v>
      </c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P2" s="110" t="s">
        <v>97</v>
      </c>
      <c r="Q2" s="110" t="s">
        <v>98</v>
      </c>
    </row>
    <row r="3" spans="1:17" s="70" customFormat="1" ht="27" customHeight="1">
      <c r="A3" s="59" t="s">
        <v>77</v>
      </c>
      <c r="B3" s="60" t="s">
        <v>78</v>
      </c>
      <c r="C3" s="60" t="s">
        <v>79</v>
      </c>
      <c r="D3" s="60" t="s">
        <v>80</v>
      </c>
      <c r="E3" s="60" t="s">
        <v>81</v>
      </c>
      <c r="F3" s="61" t="s">
        <v>82</v>
      </c>
      <c r="G3" s="62" t="s">
        <v>83</v>
      </c>
      <c r="H3" s="63" t="s">
        <v>84</v>
      </c>
      <c r="I3" s="64"/>
      <c r="J3" s="65" t="s">
        <v>82</v>
      </c>
      <c r="K3" s="66"/>
      <c r="L3" s="67"/>
      <c r="M3" s="68" t="s">
        <v>83</v>
      </c>
      <c r="N3" s="69" t="s">
        <v>85</v>
      </c>
      <c r="P3" s="111">
        <v>15</v>
      </c>
      <c r="Q3" s="58" t="s">
        <v>76</v>
      </c>
    </row>
    <row r="4" spans="1:17" s="81" customFormat="1" ht="18" customHeight="1">
      <c r="A4" s="378" t="s">
        <v>28</v>
      </c>
      <c r="B4" s="247">
        <v>11.3</v>
      </c>
      <c r="C4" s="73">
        <v>28</v>
      </c>
      <c r="D4" s="73">
        <v>26</v>
      </c>
      <c r="E4" s="74"/>
      <c r="F4" s="72">
        <v>1</v>
      </c>
      <c r="G4" s="72">
        <v>10</v>
      </c>
      <c r="H4" s="75">
        <f aca="true" t="shared" si="0" ref="H4:H11">N4+I4</f>
        <v>2050000</v>
      </c>
      <c r="I4" s="76">
        <f aca="true" t="shared" si="1" ref="I4:I11">IF(E4&gt;0,$N$13,0)+IF(C4&gt;0,50000,0)+IF(C12&lt;0,50000,0)</f>
        <v>50000</v>
      </c>
      <c r="J4" s="77" t="s">
        <v>86</v>
      </c>
      <c r="K4" s="78"/>
      <c r="L4" s="79"/>
      <c r="M4" s="80">
        <v>10</v>
      </c>
      <c r="N4" s="75">
        <f>N12*25%</f>
        <v>2000000</v>
      </c>
      <c r="P4" s="71">
        <v>20</v>
      </c>
      <c r="Q4" s="58">
        <f>ROUND(P4*18/P3,0)</f>
        <v>24</v>
      </c>
    </row>
    <row r="5" spans="1:17" s="81" customFormat="1" ht="18" customHeight="1">
      <c r="A5" s="378" t="s">
        <v>166</v>
      </c>
      <c r="B5" s="247">
        <v>15.3</v>
      </c>
      <c r="C5" s="12">
        <v>26</v>
      </c>
      <c r="D5" s="73">
        <v>24</v>
      </c>
      <c r="E5" s="74"/>
      <c r="F5" s="72">
        <v>2</v>
      </c>
      <c r="G5" s="72">
        <v>8</v>
      </c>
      <c r="H5" s="75">
        <f t="shared" si="0"/>
        <v>1650000</v>
      </c>
      <c r="I5" s="76">
        <f t="shared" si="1"/>
        <v>50000</v>
      </c>
      <c r="J5" s="82" t="s">
        <v>87</v>
      </c>
      <c r="K5" s="83"/>
      <c r="L5" s="84"/>
      <c r="M5" s="85">
        <v>8</v>
      </c>
      <c r="N5" s="75">
        <f>N12*20%</f>
        <v>1600000</v>
      </c>
      <c r="P5" s="71">
        <v>21</v>
      </c>
      <c r="Q5" s="58">
        <f>ROUND(P5*18/P3,0)</f>
        <v>25</v>
      </c>
    </row>
    <row r="6" spans="1:17" s="81" customFormat="1" ht="18" customHeight="1">
      <c r="A6" s="378" t="s">
        <v>36</v>
      </c>
      <c r="B6" s="247">
        <v>18.5</v>
      </c>
      <c r="C6" s="72">
        <v>26</v>
      </c>
      <c r="D6" s="73">
        <v>35</v>
      </c>
      <c r="E6" s="88"/>
      <c r="F6" s="12">
        <v>3</v>
      </c>
      <c r="G6" s="12">
        <v>6</v>
      </c>
      <c r="H6" s="75">
        <f t="shared" si="0"/>
        <v>1250000</v>
      </c>
      <c r="I6" s="76">
        <f t="shared" si="1"/>
        <v>50000</v>
      </c>
      <c r="J6" s="82" t="s">
        <v>88</v>
      </c>
      <c r="K6" s="83"/>
      <c r="L6" s="84"/>
      <c r="M6" s="85">
        <v>6</v>
      </c>
      <c r="N6" s="75">
        <f>N12*15%</f>
        <v>1200000</v>
      </c>
      <c r="P6" s="71">
        <v>22</v>
      </c>
      <c r="Q6" s="58">
        <f>ROUND(P6*18/P3,0)</f>
        <v>26</v>
      </c>
    </row>
    <row r="7" spans="1:17" s="81" customFormat="1" ht="18" customHeight="1">
      <c r="A7" s="378" t="s">
        <v>46</v>
      </c>
      <c r="B7" s="247">
        <v>22.1</v>
      </c>
      <c r="C7" s="72">
        <v>26</v>
      </c>
      <c r="D7" s="73">
        <v>32</v>
      </c>
      <c r="E7" s="88"/>
      <c r="F7" s="72">
        <v>4</v>
      </c>
      <c r="G7" s="72">
        <v>5</v>
      </c>
      <c r="H7" s="75">
        <f t="shared" si="0"/>
        <v>1010000</v>
      </c>
      <c r="I7" s="76">
        <f t="shared" si="1"/>
        <v>50000</v>
      </c>
      <c r="J7" s="82" t="s">
        <v>89</v>
      </c>
      <c r="K7" s="83"/>
      <c r="L7" s="84"/>
      <c r="M7" s="85">
        <v>5</v>
      </c>
      <c r="N7" s="75">
        <f>N12*12%</f>
        <v>960000</v>
      </c>
      <c r="O7" s="86"/>
      <c r="P7" s="71">
        <v>23</v>
      </c>
      <c r="Q7" s="58">
        <f>ROUND(P7*18/P3,0)</f>
        <v>28</v>
      </c>
    </row>
    <row r="8" spans="1:17" s="81" customFormat="1" ht="18" customHeight="1">
      <c r="A8" s="378" t="s">
        <v>12</v>
      </c>
      <c r="B8" s="247">
        <v>15.3</v>
      </c>
      <c r="C8" s="72">
        <v>25</v>
      </c>
      <c r="D8" s="73">
        <v>28</v>
      </c>
      <c r="E8" s="74"/>
      <c r="F8" s="72">
        <v>5</v>
      </c>
      <c r="G8" s="72">
        <v>4</v>
      </c>
      <c r="H8" s="75">
        <f t="shared" si="0"/>
        <v>850000</v>
      </c>
      <c r="I8" s="76">
        <f t="shared" si="1"/>
        <v>50000</v>
      </c>
      <c r="J8" s="82" t="s">
        <v>90</v>
      </c>
      <c r="K8" s="83"/>
      <c r="L8" s="84"/>
      <c r="M8" s="85">
        <v>4</v>
      </c>
      <c r="N8" s="75">
        <f>N12*10%</f>
        <v>800000</v>
      </c>
      <c r="P8" s="71">
        <v>24</v>
      </c>
      <c r="Q8" s="58">
        <f>ROUND(P8*18/P3,0)</f>
        <v>29</v>
      </c>
    </row>
    <row r="9" spans="1:17" s="81" customFormat="1" ht="18" customHeight="1">
      <c r="A9" s="378" t="s">
        <v>148</v>
      </c>
      <c r="B9" s="247">
        <v>10.2</v>
      </c>
      <c r="C9" s="72">
        <v>24</v>
      </c>
      <c r="D9" s="73">
        <v>32</v>
      </c>
      <c r="E9" s="74"/>
      <c r="F9" s="92">
        <v>6</v>
      </c>
      <c r="G9" s="92">
        <v>3</v>
      </c>
      <c r="H9" s="75">
        <f t="shared" si="0"/>
        <v>690000</v>
      </c>
      <c r="I9" s="76">
        <f t="shared" si="1"/>
        <v>50000</v>
      </c>
      <c r="J9" s="82" t="s">
        <v>91</v>
      </c>
      <c r="K9" s="83"/>
      <c r="L9" s="84"/>
      <c r="M9" s="85">
        <v>3</v>
      </c>
      <c r="N9" s="75">
        <f>N12*8%</f>
        <v>640000</v>
      </c>
      <c r="P9" s="71">
        <v>25</v>
      </c>
      <c r="Q9" s="58">
        <f>ROUND(P9*18/P3,0)</f>
        <v>30</v>
      </c>
    </row>
    <row r="10" spans="1:17" s="81" customFormat="1" ht="18" customHeight="1">
      <c r="A10" s="378" t="s">
        <v>14</v>
      </c>
      <c r="B10" s="247">
        <v>11.4</v>
      </c>
      <c r="C10" s="72">
        <v>24</v>
      </c>
      <c r="D10" s="73">
        <v>29</v>
      </c>
      <c r="E10" s="74"/>
      <c r="F10" s="72">
        <v>7</v>
      </c>
      <c r="G10" s="72">
        <v>2</v>
      </c>
      <c r="H10" s="75">
        <f t="shared" si="0"/>
        <v>530000</v>
      </c>
      <c r="I10" s="76">
        <f t="shared" si="1"/>
        <v>50000</v>
      </c>
      <c r="J10" s="82" t="s">
        <v>92</v>
      </c>
      <c r="K10" s="83"/>
      <c r="L10" s="84"/>
      <c r="M10" s="85">
        <v>2</v>
      </c>
      <c r="N10" s="75">
        <f>N12*6%</f>
        <v>480000</v>
      </c>
      <c r="P10" s="71">
        <v>26</v>
      </c>
      <c r="Q10" s="58">
        <f>ROUND(P10*18/P3,0)</f>
        <v>31</v>
      </c>
    </row>
    <row r="11" spans="1:17" s="81" customFormat="1" ht="18" customHeight="1">
      <c r="A11" s="378" t="s">
        <v>32</v>
      </c>
      <c r="B11" s="247">
        <v>13.7</v>
      </c>
      <c r="C11" s="72">
        <v>24</v>
      </c>
      <c r="D11" s="73">
        <v>34</v>
      </c>
      <c r="E11" s="74">
        <v>6.75</v>
      </c>
      <c r="F11" s="72">
        <v>8</v>
      </c>
      <c r="G11" s="72">
        <v>1</v>
      </c>
      <c r="H11" s="75">
        <f t="shared" si="0"/>
        <v>850000</v>
      </c>
      <c r="I11" s="76">
        <f t="shared" si="1"/>
        <v>530000</v>
      </c>
      <c r="J11" s="82" t="s">
        <v>93</v>
      </c>
      <c r="K11" s="83"/>
      <c r="L11" s="84"/>
      <c r="M11" s="85">
        <v>1</v>
      </c>
      <c r="N11" s="75">
        <f>N12*4%</f>
        <v>320000</v>
      </c>
      <c r="P11" s="71">
        <v>27</v>
      </c>
      <c r="Q11" s="58">
        <f>ROUND(P11*18/P3,0)</f>
        <v>32</v>
      </c>
    </row>
    <row r="12" spans="1:17" s="81" customFormat="1" ht="18" customHeight="1">
      <c r="A12" s="378" t="s">
        <v>34</v>
      </c>
      <c r="B12" s="247">
        <v>15.6</v>
      </c>
      <c r="C12" s="72">
        <v>24</v>
      </c>
      <c r="D12" s="73">
        <v>35</v>
      </c>
      <c r="E12" s="74"/>
      <c r="F12" s="72"/>
      <c r="G12" s="72"/>
      <c r="H12" s="75">
        <f aca="true" t="shared" si="2" ref="H12:H28">I12</f>
        <v>50000</v>
      </c>
      <c r="I12" s="76">
        <f aca="true" t="shared" si="3" ref="I12:I28">IF(E12&gt;0,$N$13,0)+IF(C12&gt;0,50000,0)+IF(C12&lt;0,50000,0)</f>
        <v>50000</v>
      </c>
      <c r="J12" s="90" t="s">
        <v>94</v>
      </c>
      <c r="K12" s="83"/>
      <c r="L12" s="84"/>
      <c r="M12" s="85"/>
      <c r="N12" s="91">
        <v>8000000</v>
      </c>
      <c r="P12" s="71">
        <v>28</v>
      </c>
      <c r="Q12" s="58">
        <f>ROUND(P12*18/P3,0)</f>
        <v>34</v>
      </c>
    </row>
    <row r="13" spans="1:17" s="81" customFormat="1" ht="18" customHeight="1">
      <c r="A13" s="378" t="s">
        <v>48</v>
      </c>
      <c r="B13" s="247">
        <v>7.9</v>
      </c>
      <c r="C13" s="73">
        <v>23</v>
      </c>
      <c r="D13" s="73">
        <v>31</v>
      </c>
      <c r="E13" s="88"/>
      <c r="F13" s="72"/>
      <c r="G13" s="72"/>
      <c r="H13" s="75">
        <f t="shared" si="2"/>
        <v>50000</v>
      </c>
      <c r="I13" s="76">
        <f t="shared" si="3"/>
        <v>50000</v>
      </c>
      <c r="J13" s="93" t="s">
        <v>95</v>
      </c>
      <c r="K13" s="94"/>
      <c r="L13" s="95"/>
      <c r="M13" s="96">
        <v>1</v>
      </c>
      <c r="N13" s="97">
        <f>N10</f>
        <v>480000</v>
      </c>
      <c r="P13" s="71">
        <v>29</v>
      </c>
      <c r="Q13" s="58">
        <f>ROUND(P13*18/P3,0)</f>
        <v>35</v>
      </c>
    </row>
    <row r="14" spans="1:17" s="81" customFormat="1" ht="18" customHeight="1">
      <c r="A14" s="378" t="s">
        <v>42</v>
      </c>
      <c r="B14" s="247">
        <v>16.1</v>
      </c>
      <c r="C14" s="72">
        <v>20</v>
      </c>
      <c r="D14" s="73">
        <v>36</v>
      </c>
      <c r="E14" s="74"/>
      <c r="F14" s="72"/>
      <c r="G14" s="72"/>
      <c r="H14" s="75">
        <f t="shared" si="2"/>
        <v>50000</v>
      </c>
      <c r="I14" s="76">
        <f t="shared" si="3"/>
        <v>50000</v>
      </c>
      <c r="J14" s="98"/>
      <c r="K14" s="94"/>
      <c r="L14" s="94"/>
      <c r="M14" s="99"/>
      <c r="N14" s="100"/>
      <c r="P14" s="71">
        <v>30</v>
      </c>
      <c r="Q14" s="58">
        <f>ROUND(P14*18/P3,0)</f>
        <v>36</v>
      </c>
    </row>
    <row r="15" spans="1:17" s="81" customFormat="1" ht="18" customHeight="1">
      <c r="A15" s="378" t="s">
        <v>22</v>
      </c>
      <c r="B15" s="247">
        <v>12.6</v>
      </c>
      <c r="C15" s="72">
        <v>19</v>
      </c>
      <c r="D15" s="73">
        <v>34</v>
      </c>
      <c r="E15" s="88"/>
      <c r="F15" s="72"/>
      <c r="G15" s="72"/>
      <c r="H15" s="75">
        <f t="shared" si="2"/>
        <v>50000</v>
      </c>
      <c r="I15" s="76">
        <f t="shared" si="3"/>
        <v>50000</v>
      </c>
      <c r="J15" s="101"/>
      <c r="K15" s="102"/>
      <c r="L15" s="102"/>
      <c r="M15" s="103"/>
      <c r="N15" s="104"/>
      <c r="P15" s="71">
        <v>31</v>
      </c>
      <c r="Q15" s="58">
        <f>ROUND(P15*18/P3,0)</f>
        <v>37</v>
      </c>
    </row>
    <row r="16" spans="1:17" s="81" customFormat="1" ht="18" customHeight="1">
      <c r="A16" s="378" t="s">
        <v>18</v>
      </c>
      <c r="B16" s="247">
        <v>14.2</v>
      </c>
      <c r="C16" s="72">
        <v>19</v>
      </c>
      <c r="D16" s="73">
        <v>36</v>
      </c>
      <c r="E16" s="74"/>
      <c r="F16" s="12"/>
      <c r="G16" s="12"/>
      <c r="H16" s="75">
        <f t="shared" si="2"/>
        <v>50000</v>
      </c>
      <c r="I16" s="76">
        <f t="shared" si="3"/>
        <v>50000</v>
      </c>
      <c r="P16" s="71">
        <v>32</v>
      </c>
      <c r="Q16" s="58">
        <f>ROUND(P16*18/P3,0)</f>
        <v>38</v>
      </c>
    </row>
    <row r="17" spans="1:17" s="81" customFormat="1" ht="18" customHeight="1">
      <c r="A17" s="378" t="s">
        <v>38</v>
      </c>
      <c r="B17" s="247">
        <v>13.6</v>
      </c>
      <c r="C17" s="73">
        <v>17</v>
      </c>
      <c r="D17" s="73">
        <v>37</v>
      </c>
      <c r="E17" s="88"/>
      <c r="F17" s="12"/>
      <c r="G17" s="12"/>
      <c r="H17" s="75">
        <f t="shared" si="2"/>
        <v>50000</v>
      </c>
      <c r="I17" s="76">
        <f t="shared" si="3"/>
        <v>50000</v>
      </c>
      <c r="O17" s="86"/>
      <c r="P17" s="71">
        <v>33</v>
      </c>
      <c r="Q17" s="58">
        <f>ROUND(P17*18/P3,0)</f>
        <v>40</v>
      </c>
    </row>
    <row r="18" spans="1:17" s="81" customFormat="1" ht="18" customHeight="1">
      <c r="A18" s="378"/>
      <c r="B18" s="247"/>
      <c r="C18" s="92"/>
      <c r="D18" s="73"/>
      <c r="E18" s="74"/>
      <c r="F18" s="72"/>
      <c r="G18" s="72"/>
      <c r="H18" s="75">
        <f t="shared" si="2"/>
        <v>0</v>
      </c>
      <c r="I18" s="76">
        <f t="shared" si="3"/>
        <v>0</v>
      </c>
      <c r="J18" s="8"/>
      <c r="K18" s="8"/>
      <c r="L18" s="8"/>
      <c r="M18" s="8"/>
      <c r="N18" s="8"/>
      <c r="O18" s="87"/>
      <c r="P18" s="71">
        <v>34</v>
      </c>
      <c r="Q18" s="58">
        <f>ROUND(P18*18/P3,0)</f>
        <v>41</v>
      </c>
    </row>
    <row r="19" spans="1:17" s="81" customFormat="1" ht="18" customHeight="1">
      <c r="A19" s="378"/>
      <c r="B19" s="247"/>
      <c r="C19" s="73"/>
      <c r="D19" s="73"/>
      <c r="E19" s="88"/>
      <c r="F19" s="72"/>
      <c r="G19" s="72"/>
      <c r="H19" s="75">
        <f t="shared" si="2"/>
        <v>0</v>
      </c>
      <c r="I19" s="76">
        <f t="shared" si="3"/>
        <v>0</v>
      </c>
      <c r="J19" s="8"/>
      <c r="K19" s="8"/>
      <c r="L19" s="8"/>
      <c r="M19" s="8"/>
      <c r="N19" s="8"/>
      <c r="O19" s="87"/>
      <c r="P19" s="71">
        <v>35</v>
      </c>
      <c r="Q19" s="58">
        <f>ROUND(P19*18/P3,0)</f>
        <v>42</v>
      </c>
    </row>
    <row r="20" spans="1:17" s="57" customFormat="1" ht="18" customHeight="1">
      <c r="A20" s="378"/>
      <c r="B20" s="247"/>
      <c r="C20" s="72"/>
      <c r="D20" s="73"/>
      <c r="E20" s="74"/>
      <c r="F20" s="12"/>
      <c r="G20" s="12"/>
      <c r="H20" s="75">
        <f t="shared" si="2"/>
        <v>0</v>
      </c>
      <c r="I20" s="76">
        <f t="shared" si="3"/>
        <v>0</v>
      </c>
      <c r="J20" s="8"/>
      <c r="K20" s="8"/>
      <c r="L20" s="8"/>
      <c r="M20" s="8"/>
      <c r="N20" s="8"/>
      <c r="P20" s="71">
        <v>36</v>
      </c>
      <c r="Q20" s="58">
        <f>ROUND(P20*18/P3,0)</f>
        <v>43</v>
      </c>
    </row>
    <row r="21" spans="1:17" s="57" customFormat="1" ht="18" customHeight="1">
      <c r="A21" s="378"/>
      <c r="B21" s="247"/>
      <c r="C21" s="72"/>
      <c r="D21" s="73"/>
      <c r="E21" s="74"/>
      <c r="F21" s="12"/>
      <c r="G21" s="12"/>
      <c r="H21" s="75">
        <f t="shared" si="2"/>
        <v>0</v>
      </c>
      <c r="I21" s="76">
        <f t="shared" si="3"/>
        <v>0</v>
      </c>
      <c r="J21" s="8"/>
      <c r="K21" s="8"/>
      <c r="L21" s="8"/>
      <c r="M21" s="8"/>
      <c r="N21" s="8"/>
      <c r="P21" s="71">
        <v>37</v>
      </c>
      <c r="Q21" s="58">
        <f>ROUND(P21*18/P3,0)</f>
        <v>44</v>
      </c>
    </row>
    <row r="22" spans="1:17" s="57" customFormat="1" ht="18" customHeight="1">
      <c r="A22" s="378"/>
      <c r="B22" s="247"/>
      <c r="C22" s="72"/>
      <c r="D22" s="73"/>
      <c r="E22" s="74"/>
      <c r="F22" s="12"/>
      <c r="G22" s="12"/>
      <c r="H22" s="75">
        <f t="shared" si="2"/>
        <v>0</v>
      </c>
      <c r="I22" s="76">
        <f t="shared" si="3"/>
        <v>0</v>
      </c>
      <c r="J22" s="8"/>
      <c r="K22" s="8"/>
      <c r="L22" s="8"/>
      <c r="M22" s="8"/>
      <c r="N22" s="8"/>
      <c r="P22" s="71">
        <v>38</v>
      </c>
      <c r="Q22" s="58">
        <f>ROUND(P22*18/P3,0)</f>
        <v>46</v>
      </c>
    </row>
    <row r="23" spans="1:17" s="57" customFormat="1" ht="18" customHeight="1">
      <c r="A23" s="378"/>
      <c r="B23" s="247"/>
      <c r="C23" s="72"/>
      <c r="D23" s="73"/>
      <c r="E23" s="74"/>
      <c r="F23" s="12"/>
      <c r="G23" s="12"/>
      <c r="H23" s="75">
        <f t="shared" si="2"/>
        <v>0</v>
      </c>
      <c r="I23" s="76">
        <f t="shared" si="3"/>
        <v>0</v>
      </c>
      <c r="J23" s="8"/>
      <c r="K23" s="8"/>
      <c r="L23" s="8"/>
      <c r="M23" s="8"/>
      <c r="N23" s="8"/>
      <c r="P23" s="71">
        <v>39</v>
      </c>
      <c r="Q23" s="58">
        <f>ROUND(P23*18/P3,0)</f>
        <v>47</v>
      </c>
    </row>
    <row r="24" spans="1:17" s="57" customFormat="1" ht="18" customHeight="1">
      <c r="A24" s="378"/>
      <c r="B24" s="247"/>
      <c r="C24" s="73"/>
      <c r="D24" s="9"/>
      <c r="E24" s="74"/>
      <c r="F24" s="12"/>
      <c r="G24" s="12"/>
      <c r="H24" s="75">
        <f t="shared" si="2"/>
        <v>0</v>
      </c>
      <c r="I24" s="76">
        <f t="shared" si="3"/>
        <v>0</v>
      </c>
      <c r="J24" s="8"/>
      <c r="K24" s="8"/>
      <c r="L24" s="8"/>
      <c r="M24" s="8"/>
      <c r="N24" s="8"/>
      <c r="P24" s="71">
        <v>40</v>
      </c>
      <c r="Q24" s="58">
        <f>ROUND(P24*18/P3,0)</f>
        <v>48</v>
      </c>
    </row>
    <row r="25" spans="1:17" s="57" customFormat="1" ht="18" customHeight="1">
      <c r="A25" s="378"/>
      <c r="B25" s="247"/>
      <c r="C25" s="73"/>
      <c r="D25" s="105"/>
      <c r="E25" s="74"/>
      <c r="F25" s="12"/>
      <c r="G25" s="12"/>
      <c r="H25" s="75">
        <f>I25</f>
        <v>0</v>
      </c>
      <c r="I25" s="76">
        <f>IF(E25&gt;0,$N$13,0)+IF(C25&gt;0,50000,0)+IF(C25&lt;0,50000,0)</f>
        <v>0</v>
      </c>
      <c r="J25" s="8"/>
      <c r="K25" s="8"/>
      <c r="L25" s="8"/>
      <c r="M25" s="8"/>
      <c r="N25" s="8"/>
      <c r="P25" s="71"/>
      <c r="Q25" s="58"/>
    </row>
    <row r="26" spans="1:14" s="57" customFormat="1" ht="18" customHeight="1">
      <c r="A26" s="152"/>
      <c r="B26" s="247"/>
      <c r="C26" s="72"/>
      <c r="D26" s="105" t="s">
        <v>96</v>
      </c>
      <c r="E26" s="88"/>
      <c r="F26" s="12"/>
      <c r="G26" s="12"/>
      <c r="H26" s="75">
        <f t="shared" si="2"/>
        <v>0</v>
      </c>
      <c r="I26" s="76">
        <f t="shared" si="3"/>
        <v>0</v>
      </c>
      <c r="J26" s="8"/>
      <c r="K26" s="8"/>
      <c r="L26" s="8"/>
      <c r="M26" s="8"/>
      <c r="N26" s="8"/>
    </row>
    <row r="27" spans="1:14" s="57" customFormat="1" ht="18" customHeight="1">
      <c r="A27" s="152"/>
      <c r="B27" s="247"/>
      <c r="C27" s="72"/>
      <c r="D27" s="73"/>
      <c r="E27" s="74"/>
      <c r="F27" s="72"/>
      <c r="G27" s="72"/>
      <c r="H27" s="75">
        <f t="shared" si="2"/>
        <v>0</v>
      </c>
      <c r="I27" s="76">
        <f t="shared" si="3"/>
        <v>0</v>
      </c>
      <c r="J27" s="8"/>
      <c r="K27" s="8"/>
      <c r="L27" s="8"/>
      <c r="M27" s="8"/>
      <c r="N27" s="8"/>
    </row>
    <row r="28" spans="1:14" s="57" customFormat="1" ht="18" customHeight="1">
      <c r="A28" s="152"/>
      <c r="B28" s="186"/>
      <c r="C28" s="73"/>
      <c r="D28" s="105"/>
      <c r="E28" s="88"/>
      <c r="F28" s="72"/>
      <c r="G28" s="72"/>
      <c r="H28" s="75">
        <f t="shared" si="2"/>
        <v>0</v>
      </c>
      <c r="I28" s="76">
        <f t="shared" si="3"/>
        <v>0</v>
      </c>
      <c r="J28" s="8"/>
      <c r="K28" s="8"/>
      <c r="L28" s="8"/>
      <c r="M28" s="8"/>
      <c r="N28" s="8"/>
    </row>
    <row r="29" spans="1:9" ht="24" customHeight="1">
      <c r="A29" s="1"/>
      <c r="B29" s="3"/>
      <c r="C29" s="106"/>
      <c r="D29" s="107">
        <f>SUM(D4:D17)</f>
        <v>449</v>
      </c>
      <c r="E29" s="106"/>
      <c r="F29" s="3"/>
      <c r="G29" s="108">
        <f>SUM(G4:G28)</f>
        <v>39</v>
      </c>
      <c r="H29" s="108">
        <f>SUM(H4:H28)</f>
        <v>9180000</v>
      </c>
      <c r="I29" s="109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000000000000005" right="0.43000000000000005" top="0.55" bottom="0.55" header="0.51" footer="0.51"/>
  <pageSetup fitToHeight="1" fitToWidth="1" horizontalDpi="300" verticalDpi="300" orientation="landscape" paperSize="9" scale="7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Jakob Kristensen</cp:lastModifiedBy>
  <cp:lastPrinted>2017-10-10T18:56:28Z</cp:lastPrinted>
  <dcterms:created xsi:type="dcterms:W3CDTF">2013-09-23T23:59:48Z</dcterms:created>
  <dcterms:modified xsi:type="dcterms:W3CDTF">2017-10-10T18:59:55Z</dcterms:modified>
  <cp:category/>
  <cp:version/>
  <cp:contentType/>
  <cp:contentStatus/>
</cp:coreProperties>
</file>