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worksheets/sheet30.xml" ContentType="application/vnd.openxmlformats-officedocument.spreadsheetml.worksheet+xml"/>
  <Override PartName="/xl/drawings/drawing27.xml" ContentType="application/vnd.openxmlformats-officedocument.drawing+xml"/>
  <Override PartName="/xl/worksheets/sheet31.xml" ContentType="application/vnd.openxmlformats-officedocument.spreadsheetml.worksheet+xml"/>
  <Override PartName="/xl/drawings/drawing28.xml" ContentType="application/vnd.openxmlformats-officedocument.drawing+xml"/>
  <Override PartName="/xl/worksheets/sheet32.xml" ContentType="application/vnd.openxmlformats-officedocument.spreadsheetml.worksheet+xml"/>
  <Override PartName="/xl/drawings/drawing29.xml" ContentType="application/vnd.openxmlformats-officedocument.drawing+xml"/>
  <Override PartName="/xl/worksheets/sheet33.xml" ContentType="application/vnd.openxmlformats-officedocument.spreadsheetml.worksheet+xml"/>
  <Override PartName="/xl/drawings/drawing30.xml" ContentType="application/vnd.openxmlformats-officedocument.drawing+xml"/>
  <Override PartName="/xl/worksheets/sheet34.xml" ContentType="application/vnd.openxmlformats-officedocument.spreadsheetml.worksheet+xml"/>
  <Override PartName="/xl/drawings/drawing31.xml" ContentType="application/vnd.openxmlformats-officedocument.drawing+xml"/>
  <Override PartName="/xl/worksheets/sheet35.xml" ContentType="application/vnd.openxmlformats-officedocument.spreadsheetml.worksheet+xml"/>
  <Override PartName="/xl/drawings/drawing32.xml" ContentType="application/vnd.openxmlformats-officedocument.drawing+xml"/>
  <Override PartName="/xl/worksheets/sheet36.xml" ContentType="application/vnd.openxmlformats-officedocument.spreadsheetml.worksheet+xml"/>
  <Override PartName="/xl/drawings/drawing33.xml" ContentType="application/vnd.openxmlformats-officedocument.drawing+xml"/>
  <Override PartName="/xl/worksheets/sheet37.xml" ContentType="application/vnd.openxmlformats-officedocument.spreadsheetml.worksheet+xml"/>
  <Override PartName="/xl/drawings/drawing34.xml" ContentType="application/vnd.openxmlformats-officedocument.drawing+xml"/>
  <Override PartName="/xl/worksheets/sheet38.xml" ContentType="application/vnd.openxmlformats-officedocument.spreadsheetml.worksheet+xml"/>
  <Override PartName="/xl/drawings/drawing35.xml" ContentType="application/vnd.openxmlformats-officedocument.drawing+xml"/>
  <Override PartName="/xl/worksheets/sheet39.xml" ContentType="application/vnd.openxmlformats-officedocument.spreadsheetml.worksheet+xml"/>
  <Override PartName="/xl/drawings/drawing36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30" yWindow="0" windowWidth="9060" windowHeight="11020" tabRatio="980" activeTab="0"/>
  </bookViews>
  <sheets>
    <sheet name="Samlet Stilling" sheetId="1" r:id="rId1"/>
    <sheet name="Medlemmer" sheetId="2" r:id="rId2"/>
    <sheet name="Money" sheetId="3" r:id="rId3"/>
    <sheet name="Point" sheetId="4" r:id="rId4"/>
    <sheet name="Puts" sheetId="5" r:id="rId5"/>
    <sheet name="Tæt-flag" sheetId="6" r:id="rId6"/>
    <sheet name="Webm" sheetId="7" r:id="rId7"/>
    <sheet name="THE FINAL" sheetId="8" r:id="rId8"/>
    <sheet name="27-09" sheetId="9" r:id="rId9"/>
    <sheet name="20-09" sheetId="10" r:id="rId10"/>
    <sheet name="13-09" sheetId="11" r:id="rId11"/>
    <sheet name="06-09" sheetId="12" r:id="rId12"/>
    <sheet name="01-09b" sheetId="13" r:id="rId13"/>
    <sheet name="01-09a" sheetId="14" r:id="rId14"/>
    <sheet name="30-08" sheetId="15" r:id="rId15"/>
    <sheet name="23-08" sheetId="16" r:id="rId16"/>
    <sheet name="16-08" sheetId="17" r:id="rId17"/>
    <sheet name="09-08" sheetId="18" r:id="rId18"/>
    <sheet name="02-08" sheetId="19" r:id="rId19"/>
    <sheet name="26-07" sheetId="20" r:id="rId20"/>
    <sheet name="19-07" sheetId="21" r:id="rId21"/>
    <sheet name="12-07" sheetId="22" r:id="rId22"/>
    <sheet name="05-07" sheetId="23" r:id="rId23"/>
    <sheet name="28-06" sheetId="24" r:id="rId24"/>
    <sheet name="21-06" sheetId="25" r:id="rId25"/>
    <sheet name="14-06" sheetId="26" r:id="rId26"/>
    <sheet name="07-06" sheetId="27" r:id="rId27"/>
    <sheet name="31-05" sheetId="28" r:id="rId28"/>
    <sheet name="24-05" sheetId="29" r:id="rId29"/>
    <sheet name="17-05" sheetId="30" r:id="rId30"/>
    <sheet name="12-05b" sheetId="31" r:id="rId31"/>
    <sheet name="12-05a" sheetId="32" r:id="rId32"/>
    <sheet name="10-05" sheetId="33" r:id="rId33"/>
    <sheet name="03-05" sheetId="34" r:id="rId34"/>
    <sheet name="26-04" sheetId="35" r:id="rId35"/>
    <sheet name="19-04" sheetId="36" r:id="rId36"/>
    <sheet name="12-04" sheetId="37" r:id="rId37"/>
    <sheet name="05-04" sheetId="38" r:id="rId38"/>
    <sheet name="29-03" sheetId="39" r:id="rId39"/>
    <sheet name="Tourplan 2012" sheetId="40" r:id="rId40"/>
    <sheet name="Starttider 2012" sheetId="41" r:id="rId41"/>
  </sheets>
  <definedNames>
    <definedName name="_xlnm.Print_Area" localSheetId="13">'01-09a'!$A$1:$O$28</definedName>
    <definedName name="_xlnm.Print_Area" localSheetId="12">'01-09b'!$A$1:$O$28</definedName>
    <definedName name="_xlnm.Print_Area" localSheetId="18">'02-08'!$A$1:$O$28</definedName>
    <definedName name="_xlnm.Print_Area" localSheetId="33">'03-05'!$A$1:$O$28</definedName>
    <definedName name="_xlnm.Print_Area" localSheetId="37">'05-04'!$A$1:$O$28</definedName>
    <definedName name="_xlnm.Print_Area" localSheetId="22">'05-07'!$A$1:$O$28</definedName>
    <definedName name="_xlnm.Print_Area" localSheetId="11">'06-09'!$A$1:$O$28</definedName>
    <definedName name="_xlnm.Print_Area" localSheetId="26">'07-06'!$A$1:$O$28</definedName>
    <definedName name="_xlnm.Print_Area" localSheetId="17">'09-08'!$A$1:$O$28</definedName>
    <definedName name="_xlnm.Print_Area" localSheetId="32">'10-05'!$A$1:$O$28</definedName>
    <definedName name="_xlnm.Print_Area" localSheetId="36">'12-04'!$A$1:$O$28</definedName>
    <definedName name="_xlnm.Print_Area" localSheetId="31">'12-05a'!$A$1:$O$28</definedName>
    <definedName name="_xlnm.Print_Area" localSheetId="30">'12-05b'!$A$1:$O$28</definedName>
    <definedName name="_xlnm.Print_Area" localSheetId="21">'12-07'!$A$1:$O$28</definedName>
    <definedName name="_xlnm.Print_Area" localSheetId="10">'13-09'!$A$1:$O$28</definedName>
    <definedName name="_xlnm.Print_Area" localSheetId="25">'14-06'!$A$1:$O$28</definedName>
    <definedName name="_xlnm.Print_Area" localSheetId="16">'16-08'!$A$1:$O$28</definedName>
    <definedName name="_xlnm.Print_Area" localSheetId="29">'17-05'!$A$1:$O$28</definedName>
    <definedName name="_xlnm.Print_Area" localSheetId="35">'19-04'!$A$1:$O$28</definedName>
    <definedName name="_xlnm.Print_Area" localSheetId="20">'19-07'!$A$1:$O$28</definedName>
    <definedName name="_xlnm.Print_Area" localSheetId="9">'20-09'!$A$1:$O$28</definedName>
    <definedName name="_xlnm.Print_Area" localSheetId="24">'21-06'!$A$1:$O$28</definedName>
    <definedName name="_xlnm.Print_Area" localSheetId="15">'23-08'!$A$1:$O$28</definedName>
    <definedName name="_xlnm.Print_Area" localSheetId="28">'24-05'!$A$1:$O$28</definedName>
    <definedName name="_xlnm.Print_Area" localSheetId="34">'26-04'!$A$1:$O$28</definedName>
    <definedName name="_xlnm.Print_Area" localSheetId="19">'26-07'!$A$1:$O$28</definedName>
    <definedName name="_xlnm.Print_Area" localSheetId="8">'27-09'!$A$1:$O$28</definedName>
    <definedName name="_xlnm.Print_Area" localSheetId="23">'28-06'!$A$1:$O$28</definedName>
    <definedName name="_xlnm.Print_Area" localSheetId="38">'29-03'!$A$1:$O$28</definedName>
    <definedName name="_xlnm.Print_Area" localSheetId="14">'30-08'!$A$1:$O$28</definedName>
    <definedName name="_xlnm.Print_Area" localSheetId="27">'31-05'!$A$1:$O$28</definedName>
    <definedName name="_xlnm.Print_Area" localSheetId="2">'Money'!$B$1:$AK$28</definedName>
    <definedName name="_xlnm.Print_Area" localSheetId="3">'Point'!$B$1:$AM$30</definedName>
    <definedName name="_xlnm.Print_Area" localSheetId="4">'Puts'!$A$1:$AQ$31</definedName>
    <definedName name="_xlnm.Print_Area" localSheetId="7">'THE FINAL'!$A$1:$O$28</definedName>
    <definedName name="_xlnm.Print_Area" localSheetId="5">'Tæt-flag'!$B$1:$I$28</definedName>
  </definedNames>
  <calcPr fullCalcOnLoad="1"/>
</workbook>
</file>

<file path=xl/sharedStrings.xml><?xml version="1.0" encoding="utf-8"?>
<sst xmlns="http://schemas.openxmlformats.org/spreadsheetml/2006/main" count="2132" uniqueCount="352">
  <si>
    <t>Spiller</t>
  </si>
  <si>
    <t>HCP</t>
  </si>
  <si>
    <t>Puts</t>
  </si>
  <si>
    <t>Præmiesum i $:</t>
  </si>
  <si>
    <t>$</t>
  </si>
  <si>
    <t>Point</t>
  </si>
  <si>
    <t>Placering</t>
  </si>
  <si>
    <t>Slag / point</t>
  </si>
  <si>
    <t>1 (25%)</t>
  </si>
  <si>
    <t>2 (20%)</t>
  </si>
  <si>
    <t>3 (15%)</t>
  </si>
  <si>
    <t>4 (12%)</t>
  </si>
  <si>
    <t>5 (10%)</t>
  </si>
  <si>
    <t>6 (8%)</t>
  </si>
  <si>
    <t>7 (6%)</t>
  </si>
  <si>
    <t>8 (4%)</t>
  </si>
  <si>
    <t>Makker</t>
  </si>
  <si>
    <t>Money</t>
  </si>
  <si>
    <t>2 x</t>
  </si>
  <si>
    <t>Hold</t>
  </si>
  <si>
    <t>4x</t>
  </si>
  <si>
    <t>3x</t>
  </si>
  <si>
    <t>POINT</t>
  </si>
  <si>
    <t>MONEY</t>
  </si>
  <si>
    <t>PUTS</t>
  </si>
  <si>
    <t>NÆRMEST FLAGET</t>
  </si>
  <si>
    <t>Inngolf Banerekorder:</t>
  </si>
  <si>
    <t>Skoven-Sletten: Dan 75 slag 24/3-05      Sletten-Ådalen: Stig 74 slag 21/7-05      Ådalen-Skoven: Dan 78 slag 28/7-05</t>
  </si>
  <si>
    <t>Samlet</t>
  </si>
  <si>
    <t>Gen.snit</t>
  </si>
  <si>
    <t>Med 37 puts</t>
  </si>
  <si>
    <t>Runder tæller</t>
  </si>
  <si>
    <t>Søtste</t>
  </si>
  <si>
    <t xml:space="preserve">                Tættest Flaget</t>
  </si>
  <si>
    <t>Længste Drive</t>
  </si>
  <si>
    <t>Hul</t>
  </si>
  <si>
    <t>Dato</t>
  </si>
  <si>
    <t>Bane</t>
  </si>
  <si>
    <t>Total</t>
  </si>
  <si>
    <t>CLOSEST PIN</t>
  </si>
  <si>
    <t>Bredde i Excel</t>
  </si>
  <si>
    <t>Bredde i pixels</t>
  </si>
  <si>
    <t>Kolone</t>
  </si>
  <si>
    <t>En "bredde" i Excel = pixels</t>
  </si>
  <si>
    <t>Tællende</t>
  </si>
  <si>
    <t>Min. tællende</t>
  </si>
  <si>
    <t>De 18 bedste resultater tæller, resten udgår (feltet markeret med rød baggrund)</t>
  </si>
  <si>
    <t>De dårligste streges (markeret med rød baggrund) hvis man har spillet over 18 runder.</t>
  </si>
  <si>
    <t>LÆNGSTE DRIVE</t>
  </si>
  <si>
    <t>LONGEST DRIVE</t>
  </si>
  <si>
    <t>Afstand i m</t>
  </si>
  <si>
    <t>Sign on fee          + $-præmie</t>
  </si>
  <si>
    <t>Tættest Flaget</t>
  </si>
  <si>
    <t xml:space="preserve">    Puts</t>
  </si>
  <si>
    <t xml:space="preserve"> Inngolf Ranking</t>
  </si>
  <si>
    <t>Manglende runder op til 18 udregnet efter 37 puts!</t>
  </si>
  <si>
    <t>Money List</t>
  </si>
  <si>
    <t>Kontrol:</t>
  </si>
  <si>
    <t>Robin Thybo</t>
  </si>
  <si>
    <t>Morten Clausen</t>
  </si>
  <si>
    <t>Børge Heiberg</t>
  </si>
  <si>
    <t>Bo Hansen</t>
  </si>
  <si>
    <t>Tæt. Flag ($= 7. pl)</t>
  </si>
  <si>
    <t>Putte-rund.</t>
  </si>
  <si>
    <t xml:space="preserve">Runder spillet                     </t>
  </si>
  <si>
    <t>Jakob Kristensen</t>
  </si>
  <si>
    <t>Martin Andersen</t>
  </si>
  <si>
    <t>Finale</t>
  </si>
  <si>
    <t>Shell Houston Open</t>
  </si>
  <si>
    <t>Masters Tournament</t>
  </si>
  <si>
    <t>Carsten Dahl</t>
  </si>
  <si>
    <t>Carsten Lund</t>
  </si>
  <si>
    <t>Henning Vestergaard</t>
  </si>
  <si>
    <t>Jens Laigaard</t>
  </si>
  <si>
    <t>John Sørensen</t>
  </si>
  <si>
    <t>Karsten Valeur</t>
  </si>
  <si>
    <t>Kristian Pedersen</t>
  </si>
  <si>
    <t>Per Nørsten</t>
  </si>
  <si>
    <t>Torben Jacobsen</t>
  </si>
  <si>
    <t>Valero Texas Open</t>
  </si>
  <si>
    <t>Når der spilles mindre end 18 huller, udregnes put antal ud fra gennemsnittet af de spillede huller</t>
  </si>
  <si>
    <t>Zürich Classic of New Orleans</t>
  </si>
  <si>
    <t>Wells Fargo Championship</t>
  </si>
  <si>
    <t>The Players Championship</t>
  </si>
  <si>
    <t>HP Byron Nelson Championship</t>
  </si>
  <si>
    <t>The Memorial Tournament</t>
  </si>
  <si>
    <t>FedEx St. Jude Classic</t>
  </si>
  <si>
    <t>US Open</t>
  </si>
  <si>
    <t>Travelers Championship</t>
  </si>
  <si>
    <t>AT&amp;T National</t>
  </si>
  <si>
    <t>John Deere Classic</t>
  </si>
  <si>
    <t>The Open</t>
  </si>
  <si>
    <t>RBC Canadian Open</t>
  </si>
  <si>
    <t>PGA Championship</t>
  </si>
  <si>
    <t>1/9</t>
  </si>
  <si>
    <t>Wyndham Championship</t>
  </si>
  <si>
    <t>The Barclays</t>
  </si>
  <si>
    <t>Deutsche Bank Championship</t>
  </si>
  <si>
    <t>Puts er omregnet til 18 huller</t>
  </si>
  <si>
    <t>18 huller</t>
  </si>
  <si>
    <t xml:space="preserve">The Tour Championship </t>
  </si>
  <si>
    <t>Inngolf - The Final</t>
  </si>
  <si>
    <t>1. pladser</t>
  </si>
  <si>
    <t>Ådalen 2</t>
  </si>
  <si>
    <t xml:space="preserve">   INNGOLF STILLING 2012 </t>
  </si>
  <si>
    <t>Inngolf PGA Tour 2012 - Torsdag den 29/3 - 18 huller Stableford - Ådalen-Skoven</t>
  </si>
  <si>
    <t>Unionsnr</t>
  </si>
  <si>
    <t>Fornavn</t>
  </si>
  <si>
    <t>Handicap</t>
  </si>
  <si>
    <t>Jan Hegner</t>
  </si>
  <si>
    <t>Jesper Vohs Nielsen</t>
  </si>
  <si>
    <t>Ole Malmskov</t>
  </si>
  <si>
    <t>RBC Heritage</t>
  </si>
  <si>
    <t>Inngolf PGA Tour 2012 - Torsdag den 12/4 - 18 huller Stableford - Skoven-Sletten</t>
  </si>
  <si>
    <t>Inngolf PGA Tour 2012 - Torsdag den 5/4 - 18 huller Stableford - Skoven Sletten</t>
  </si>
  <si>
    <t>Erik M. Pedersen</t>
  </si>
  <si>
    <t>Finn E. Christensen</t>
  </si>
  <si>
    <t>Henning B. Nielsen</t>
  </si>
  <si>
    <t>Poul D. Andersen</t>
  </si>
  <si>
    <t>Steen N. Pedersen</t>
  </si>
  <si>
    <t>Inngolf PGA Tour 2012 - Lørdag den 1/9 - 18 huller Stableford i Kolding</t>
  </si>
  <si>
    <t>Inngolf PGA Tour 2012 - Lørdag den 20/8 - 18 huller Slagspil i Kolding</t>
  </si>
  <si>
    <t>Inngolf PGA Tour 2012 - Torsdag den 3/5 - 18 huller Stableford - Skoven/Sletten</t>
  </si>
  <si>
    <t>Inngolf PGA Tour 2012 - Torsdag den 21/6 - 18 huller Sletten/Ådalen</t>
  </si>
  <si>
    <t>Greenbrier Classic</t>
  </si>
  <si>
    <t>Inngolf PGA Tour 2012 - Torsdag den 12/7 - 18 huller Slagspil - Sletten/Ådalen</t>
  </si>
  <si>
    <t>Inngolf PGA Tour 2012 - Torsdag den 19/7 - 18 huller Slagspil - Ådalen/Skoven</t>
  </si>
  <si>
    <t>WGC Bridgestone Invitational</t>
  </si>
  <si>
    <t>Inngolf PGA Tour 2012 - Torsdag den 2/8 - 18 huller Bestball</t>
  </si>
  <si>
    <t>Inngolf PGA Tour 2012 - Torsdag den 9/8 - 18 huller Slagspil</t>
  </si>
  <si>
    <t>Inngolf PGA Tour 2012 - Torsdag den 16/8 - 18 huller Stableford</t>
  </si>
  <si>
    <t>Inngolf PGA Tour 2012 - Torsdag den 23/8 - 18 huller Stableford - Sletten/Ådalen</t>
  </si>
  <si>
    <t>Inngolf PGA Tour 2012 - Torsdag den 30/8 - 18 huller Stableford - Ådalen/Skoven</t>
  </si>
  <si>
    <t>Inngolf PGA Tour 2012 - Lørdag den 29/9 - 27 huller stableford</t>
  </si>
  <si>
    <t>29/3</t>
  </si>
  <si>
    <t>5/4</t>
  </si>
  <si>
    <t>12/4</t>
  </si>
  <si>
    <t>19/4</t>
  </si>
  <si>
    <t>26/4</t>
  </si>
  <si>
    <t>3/5</t>
  </si>
  <si>
    <t>10/5</t>
  </si>
  <si>
    <t>17/5</t>
  </si>
  <si>
    <t>24/5</t>
  </si>
  <si>
    <t>31/5</t>
  </si>
  <si>
    <t>7/6</t>
  </si>
  <si>
    <t>14/6</t>
  </si>
  <si>
    <t>21/6</t>
  </si>
  <si>
    <t>28/6</t>
  </si>
  <si>
    <t>5/7</t>
  </si>
  <si>
    <t>12/7</t>
  </si>
  <si>
    <t>19/7</t>
  </si>
  <si>
    <t>26/7</t>
  </si>
  <si>
    <t>2/8</t>
  </si>
  <si>
    <t>9/8</t>
  </si>
  <si>
    <t>16/8</t>
  </si>
  <si>
    <t>23/8</t>
  </si>
  <si>
    <t>30/8</t>
  </si>
  <si>
    <t>6/9</t>
  </si>
  <si>
    <t>13/9</t>
  </si>
  <si>
    <t>20/9</t>
  </si>
  <si>
    <t>27/9</t>
  </si>
  <si>
    <t>Per N.</t>
  </si>
  <si>
    <t>Steen P</t>
  </si>
  <si>
    <t>Sletten 9</t>
  </si>
  <si>
    <t>Inngolf PGA Tour 2012 - Torsdag den 19/4 - 18 huller Stableford - Sletten - Ådalen</t>
  </si>
  <si>
    <t>Tourplan 2012</t>
  </si>
  <si>
    <t>10. sæson - i alt 30 tællende turneringer</t>
  </si>
  <si>
    <t>Preseason</t>
  </si>
  <si>
    <t>Start</t>
  </si>
  <si>
    <t>Præmie</t>
  </si>
  <si>
    <t>Match</t>
  </si>
  <si>
    <t>Type</t>
  </si>
  <si>
    <t>Bemærk</t>
  </si>
  <si>
    <t>-</t>
  </si>
  <si>
    <t>World Golf Championships-Cadillac</t>
  </si>
  <si>
    <t>Stableford</t>
  </si>
  <si>
    <t>Warm-Up</t>
  </si>
  <si>
    <t>Vinter</t>
  </si>
  <si>
    <t>Transitions Championship</t>
  </si>
  <si>
    <t>Arnold Palmer Invitational</t>
  </si>
  <si>
    <t> </t>
  </si>
  <si>
    <t>Regular Season</t>
  </si>
  <si>
    <t>SS</t>
  </si>
  <si>
    <t>Skærtorsdag</t>
  </si>
  <si>
    <t>Superrunde/Spisning</t>
  </si>
  <si>
    <t>SÅ</t>
  </si>
  <si>
    <t>5 køller - fra rød tee</t>
  </si>
  <si>
    <t>ÅS</t>
  </si>
  <si>
    <t>Dagen før st. Bededag</t>
  </si>
  <si>
    <t>Slagspil</t>
  </si>
  <si>
    <t>Kr. Himmelfart</t>
  </si>
  <si>
    <t>Crowne Plaza Invitational</t>
  </si>
  <si>
    <t xml:space="preserve">the Memorial Tournament </t>
  </si>
  <si>
    <t>Fra blå tee</t>
  </si>
  <si>
    <t>U.S. Open</t>
  </si>
  <si>
    <t>The Greenbrier Classic</t>
  </si>
  <si>
    <t>Fra hvid tee</t>
  </si>
  <si>
    <t>The Open Championship</t>
  </si>
  <si>
    <t>WGC-Bridgestone Invitational</t>
  </si>
  <si>
    <t>Bestball</t>
  </si>
  <si>
    <t>Ikke 18 huller</t>
  </si>
  <si>
    <t>Fall Series</t>
  </si>
  <si>
    <t>The Tour Championship</t>
  </si>
  <si>
    <t>The Inngolf Final 2012</t>
  </si>
  <si>
    <t>27 huller, SR + fest</t>
  </si>
  <si>
    <t>SÅS</t>
  </si>
  <si>
    <t>Tours</t>
  </si>
  <si>
    <t> ?</t>
  </si>
  <si>
    <t>2x5.000.000</t>
  </si>
  <si>
    <t>Matchkomite</t>
  </si>
  <si>
    <t>Udenbys turnering</t>
  </si>
  <si>
    <t>Vejle</t>
  </si>
  <si>
    <t>Kolding</t>
  </si>
  <si>
    <t>Starttid</t>
  </si>
  <si>
    <t>Bo</t>
  </si>
  <si>
    <t>Jakob</t>
  </si>
  <si>
    <t>Steen</t>
  </si>
  <si>
    <t>Karsten V</t>
  </si>
  <si>
    <t xml:space="preserve">Erik </t>
  </si>
  <si>
    <t>Erik</t>
  </si>
  <si>
    <t>Ole</t>
  </si>
  <si>
    <t>Per N</t>
  </si>
  <si>
    <t>Jens</t>
  </si>
  <si>
    <t>Jesper</t>
  </si>
  <si>
    <t>Morten</t>
  </si>
  <si>
    <t>Henning V</t>
  </si>
  <si>
    <t>Torben</t>
  </si>
  <si>
    <t>Henning B</t>
  </si>
  <si>
    <t>Robin</t>
  </si>
  <si>
    <t>Martin</t>
  </si>
  <si>
    <t>Carsten L</t>
  </si>
  <si>
    <t>John</t>
  </si>
  <si>
    <t>Poul</t>
  </si>
  <si>
    <t>Kristian</t>
  </si>
  <si>
    <t>Inngolf PGA Tour 2012 - Torsdag den 26/4 - 18 huller Stableford fra rød tee (5 køller) - Ådalen/Skoven</t>
  </si>
  <si>
    <t>Per</t>
  </si>
  <si>
    <t>Karsten</t>
  </si>
  <si>
    <t>Jan</t>
  </si>
  <si>
    <t>Bo H</t>
  </si>
  <si>
    <t>Børge H</t>
  </si>
  <si>
    <t>Carsten D</t>
  </si>
  <si>
    <t>Erik P</t>
  </si>
  <si>
    <t>Finn EC</t>
  </si>
  <si>
    <t>Jakob K</t>
  </si>
  <si>
    <t>Jan H</t>
  </si>
  <si>
    <t>Jens L</t>
  </si>
  <si>
    <t>Jesper VN</t>
  </si>
  <si>
    <t>John S</t>
  </si>
  <si>
    <t>Kristian P</t>
  </si>
  <si>
    <t>Martin A</t>
  </si>
  <si>
    <t>Morten C</t>
  </si>
  <si>
    <t>Ole M</t>
  </si>
  <si>
    <t>Poul D A</t>
  </si>
  <si>
    <t>Robin T</t>
  </si>
  <si>
    <t>Steen N P</t>
  </si>
  <si>
    <t>Torben J</t>
  </si>
  <si>
    <t>Steen NP</t>
  </si>
  <si>
    <t>Poul DA</t>
  </si>
  <si>
    <t>Skoven 5</t>
  </si>
  <si>
    <t>Torben J.</t>
  </si>
  <si>
    <t>Jesper V</t>
  </si>
  <si>
    <t>Hans Martin</t>
  </si>
  <si>
    <t>Claus J. (G)</t>
  </si>
  <si>
    <t>Claus (G)</t>
  </si>
  <si>
    <t>Børge</t>
  </si>
  <si>
    <t>Henning</t>
  </si>
  <si>
    <t>Inngolf PGA Tour 2012 - Torsdag den 10/5 - 18 huller Stableford - Sletten-Ådalen</t>
  </si>
  <si>
    <t>Michael (G)</t>
  </si>
  <si>
    <t>Inngolf PGA Tour 2012 - Lørdag den 12/5 Formiddag - 18 huller Stableford - Vejle</t>
  </si>
  <si>
    <t>Inngolf PGA Tour 2012 - Lørdag den 12/5 Eftermiddag - 18 huller Stableford - Vejle</t>
  </si>
  <si>
    <t>LD</t>
  </si>
  <si>
    <t>TF</t>
  </si>
  <si>
    <t>TFx2</t>
  </si>
  <si>
    <t>Vejle, Rød 1</t>
  </si>
  <si>
    <t>Vejle R3</t>
  </si>
  <si>
    <t>Vejle R8</t>
  </si>
  <si>
    <t>Vejle G2</t>
  </si>
  <si>
    <t>Vejle G5</t>
  </si>
  <si>
    <t>Vejle G6</t>
  </si>
  <si>
    <t>12/5 a</t>
  </si>
  <si>
    <t>12/5 b</t>
  </si>
  <si>
    <t>Inngolf PGA Tour 2012 - Torsdag den 17/5 - 18 huller Stableford - Ådalen/Skoven</t>
  </si>
  <si>
    <t>Inngolf PGA Tour 2012 - Torsdag den 24/5 - 18 huller Stableford - Skoven/Sletten</t>
  </si>
  <si>
    <t>Ja H</t>
  </si>
  <si>
    <t>Poul D</t>
  </si>
  <si>
    <t>Inngolf PGA Tour 2012 - Torsdag den 31/5 - 18 huller Stableford - Sletten/Ådalen (Blå tee)</t>
  </si>
  <si>
    <t>Carsten</t>
  </si>
  <si>
    <t xml:space="preserve">Morten </t>
  </si>
  <si>
    <t>Inngolf PGA Tour 2012 - Torsdag den 7/6 - 18 huller Stableford - Ådalen/Skoven</t>
  </si>
  <si>
    <t>Inngolf PGA Tour 2012 - Torsdag den 14/6 - 18 huller Slagspil - Skoven/Sletten</t>
  </si>
  <si>
    <t xml:space="preserve">Poul </t>
  </si>
  <si>
    <t>+ gæst</t>
  </si>
  <si>
    <t>Inngolf PGA Tour 2012 - Torsdag den 5/7 - 18 huller Stableford - Skoven/Sletten (Hvid tee)</t>
  </si>
  <si>
    <t xml:space="preserve">Robin </t>
  </si>
  <si>
    <t xml:space="preserve">Jan </t>
  </si>
  <si>
    <t>42</t>
  </si>
  <si>
    <t>Inngolf PGA Tour 2012 - Torsdag den 28/6 - 18 huller Stableford - Ådalen/Skoven</t>
  </si>
  <si>
    <t>Skoven-Sletten: Henning V. 13 points 5/7-12 (hvid tee) - Sletten-Ådalen: Ivar. 13 points 9/7-09 - Ådalen-Skoven: Torben C. 11 points 29/4-10</t>
  </si>
  <si>
    <t>"Pedro"</t>
  </si>
  <si>
    <t>x2</t>
  </si>
  <si>
    <t xml:space="preserve">Ole </t>
  </si>
  <si>
    <t>41</t>
  </si>
  <si>
    <t>Inngolf PGA Tour 2012 - Torsdag den 26/7 - 18 huller Stableford</t>
  </si>
  <si>
    <t>39</t>
  </si>
  <si>
    <t>44</t>
  </si>
  <si>
    <t>38</t>
  </si>
  <si>
    <t>43</t>
  </si>
  <si>
    <t>ESTATE Birkelev &amp; Thybo Classic</t>
  </si>
  <si>
    <t xml:space="preserve">ATKINS Oil &amp; Gas Invitational </t>
  </si>
  <si>
    <t>Carsten Lund*</t>
  </si>
  <si>
    <t>* 11 huller</t>
  </si>
  <si>
    <t>40</t>
  </si>
  <si>
    <t>1</t>
  </si>
  <si>
    <t xml:space="preserve">Jesper </t>
  </si>
  <si>
    <t>Inngolf PGA Tour 2012 - Torsdag den 6/9 - 18 huller Stableford Skoven/Sletten</t>
  </si>
  <si>
    <t>37</t>
  </si>
  <si>
    <t>Kolding Closed Tour I</t>
  </si>
  <si>
    <t>Kolding Closed Tour II</t>
  </si>
  <si>
    <t>3</t>
  </si>
  <si>
    <t>LD+5,00</t>
  </si>
  <si>
    <t>Claus J</t>
  </si>
  <si>
    <t>Kolding 18</t>
  </si>
  <si>
    <t>36</t>
  </si>
  <si>
    <t>Kolding Invitational</t>
  </si>
  <si>
    <t>EriK P</t>
  </si>
  <si>
    <t>Kolding 17</t>
  </si>
  <si>
    <t>Hans Martin Vestergaard</t>
  </si>
  <si>
    <t>Inngolf PGA Tour 2012 - Torsdag den 13/9 - 18 huller Stableford Sletten/Ådalen</t>
  </si>
  <si>
    <t>Hans MV</t>
  </si>
  <si>
    <t>BMV Championship</t>
  </si>
  <si>
    <t>BMV PGA Championship</t>
  </si>
  <si>
    <t>35</t>
  </si>
  <si>
    <t>4</t>
  </si>
  <si>
    <t>Inngolf PGA Tour 2012 - Torsdag den 20/9 - 18 huller stableford Ådalen-Skoven</t>
  </si>
  <si>
    <t>Omregnet
til</t>
  </si>
  <si>
    <t>Antal huller
spillet</t>
  </si>
  <si>
    <t>Kolding 7</t>
  </si>
  <si>
    <t>Kolding 15</t>
  </si>
  <si>
    <t xml:space="preserve">Karsten </t>
  </si>
  <si>
    <t>13/</t>
  </si>
  <si>
    <t>2</t>
  </si>
  <si>
    <t>Inngolf PGA Tour 2012 - Torsdag den 27/9 - 13 huller stableford Skoven-Sletten</t>
  </si>
  <si>
    <t>SK5</t>
  </si>
  <si>
    <t>Å2</t>
  </si>
  <si>
    <t>SL6-SL4</t>
  </si>
  <si>
    <t>SL9</t>
  </si>
  <si>
    <t>Å4</t>
  </si>
  <si>
    <t>34</t>
  </si>
  <si>
    <t>Skoven 2</t>
  </si>
  <si>
    <t>Sletten 4</t>
  </si>
  <si>
    <t>Sletten 6</t>
  </si>
  <si>
    <t>Ådalen 4</t>
  </si>
</sst>
</file>

<file path=xl/styles.xml><?xml version="1.0" encoding="utf-8"?>
<styleSheet xmlns="http://schemas.openxmlformats.org/spreadsheetml/2006/main">
  <numFmts count="5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#,##0\ &quot;kr&quot;;\-#,##0\ &quot;kr&quot;"/>
    <numFmt numFmtId="171" formatCode="#,##0\ &quot;kr&quot;;[Red]\-#,##0\ &quot;kr&quot;"/>
    <numFmt numFmtId="172" formatCode="#,##0.00\ &quot;kr&quot;;\-#,##0.00\ &quot;kr&quot;"/>
    <numFmt numFmtId="173" formatCode="#,##0.00\ &quot;kr&quot;;[Red]\-#,##0.00\ &quot;kr&quot;"/>
    <numFmt numFmtId="174" formatCode="_-* #,##0\ &quot;kr&quot;_-;\-* #,##0\ &quot;kr&quot;_-;_-* &quot;-&quot;\ &quot;kr&quot;_-;_-@_-"/>
    <numFmt numFmtId="175" formatCode="_-* #,##0\ _k_r_-;\-* #,##0\ _k_r_-;_-* &quot;-&quot;\ _k_r_-;_-@_-"/>
    <numFmt numFmtId="176" formatCode="_-* #,##0.00\ &quot;kr&quot;_-;\-* #,##0.00\ &quot;kr&quot;_-;_-* &quot;-&quot;??\ &quot;kr&quot;_-;_-@_-"/>
    <numFmt numFmtId="177" formatCode="_-* #,##0.00\ _k_r_-;\-* #,##0.00\ _k_r_-;_-* &quot;-&quot;??\ _k_r_-;_-@_-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kr.&quot;\ #,##0_);\(&quot;kr.&quot;\ #,##0\)"/>
    <numFmt numFmtId="196" formatCode="&quot;kr.&quot;\ #,##0_);[Red]\(&quot;kr.&quot;\ #,##0\)"/>
    <numFmt numFmtId="197" formatCode="&quot;kr.&quot;\ #,##0.00_);\(&quot;kr.&quot;\ #,##0.00\)"/>
    <numFmt numFmtId="198" formatCode="&quot;kr.&quot;\ #,##0.00_);[Red]\(&quot;kr.&quot;\ #,##0.00\)"/>
    <numFmt numFmtId="199" formatCode="_(&quot;kr.&quot;\ * #,##0_);_(&quot;kr.&quot;\ * \(#,##0\);_(&quot;kr.&quot;\ * &quot;-&quot;_);_(@_)"/>
    <numFmt numFmtId="200" formatCode="_(&quot;kr.&quot;\ * #,##0.00_);_(&quot;kr.&quot;\ * \(#,##0.00\);_(&quot;kr.&quot;\ * &quot;-&quot;??_);_(@_)"/>
    <numFmt numFmtId="201" formatCode="[$-406]d\.\ mmmm\ yyyy"/>
    <numFmt numFmtId="202" formatCode="_(* #,##0.0_);_(* \(#,##0.0\);_(* &quot;-&quot;??_);_(@_)"/>
    <numFmt numFmtId="203" formatCode="_(* #,##0_);_(* \(#,##0\);_(* &quot;-&quot;??_);_(@_)"/>
    <numFmt numFmtId="204" formatCode="_(* #,##0.000_);_(* \(#,##0.000\);_(* &quot;-&quot;??_);_(@_)"/>
    <numFmt numFmtId="205" formatCode="0.0000"/>
    <numFmt numFmtId="206" formatCode="[$-406]dddd\ &quot;den&quot;\ d\.\ mmmm\ yy"/>
    <numFmt numFmtId="207" formatCode="dd\-mm"/>
    <numFmt numFmtId="208" formatCode="dd\-mmm"/>
    <numFmt numFmtId="209" formatCode="hh:mm;@"/>
  </numFmts>
  <fonts count="76">
    <font>
      <sz val="10"/>
      <name val="Arial"/>
      <family val="0"/>
    </font>
    <font>
      <b/>
      <sz val="2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55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7"/>
      <name val="Verdana"/>
      <family val="2"/>
    </font>
    <font>
      <sz val="10"/>
      <color indexed="55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i/>
      <sz val="10"/>
      <color indexed="22"/>
      <name val="Arial"/>
      <family val="2"/>
    </font>
    <font>
      <sz val="9"/>
      <color indexed="22"/>
      <name val="Arial"/>
      <family val="2"/>
    </font>
    <font>
      <b/>
      <sz val="16"/>
      <color indexed="22"/>
      <name val="Arial"/>
      <family val="2"/>
    </font>
    <font>
      <sz val="10"/>
      <color indexed="22"/>
      <name val="Arial"/>
      <family val="2"/>
    </font>
    <font>
      <sz val="12"/>
      <color indexed="22"/>
      <name val="Arial"/>
      <family val="2"/>
    </font>
    <font>
      <sz val="12"/>
      <color indexed="55"/>
      <name val="Arial"/>
      <family val="2"/>
    </font>
    <font>
      <b/>
      <sz val="12"/>
      <color indexed="10"/>
      <name val="Arial"/>
      <family val="2"/>
    </font>
    <font>
      <sz val="8"/>
      <color indexed="55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.5"/>
      <name val="Courier"/>
      <family val="3"/>
    </font>
    <font>
      <b/>
      <sz val="10.5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59" fillId="21" borderId="2" applyNumberFormat="0" applyAlignment="0" applyProtection="0"/>
    <xf numFmtId="0" fontId="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2" fillId="23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3" fillId="24" borderId="3" applyNumberFormat="0" applyAlignment="0" applyProtection="0"/>
    <xf numFmtId="0" fontId="8" fillId="0" borderId="0" applyNumberFormat="0" applyFill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65" fillId="21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53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3" fontId="11" fillId="0" borderId="12" xfId="0" applyNumberFormat="1" applyFont="1" applyFill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6" fillId="0" borderId="0" xfId="0" applyFont="1" applyAlignment="1" applyProtection="1">
      <alignment/>
      <protection locked="0"/>
    </xf>
    <xf numFmtId="49" fontId="6" fillId="0" borderId="0" xfId="0" applyNumberFormat="1" applyFont="1" applyAlignment="1" applyProtection="1">
      <alignment textRotation="90"/>
      <protection locked="0"/>
    </xf>
    <xf numFmtId="49" fontId="6" fillId="0" borderId="0" xfId="0" applyNumberFormat="1" applyFont="1" applyBorder="1" applyAlignment="1" applyProtection="1">
      <alignment textRotation="90"/>
      <protection/>
    </xf>
    <xf numFmtId="49" fontId="0" fillId="34" borderId="10" xfId="0" applyNumberFormat="1" applyFont="1" applyFill="1" applyBorder="1" applyAlignment="1" applyProtection="1">
      <alignment horizontal="center" textRotation="90"/>
      <protection/>
    </xf>
    <xf numFmtId="0" fontId="6" fillId="0" borderId="0" xfId="0" applyFont="1" applyFill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49" fontId="6" fillId="34" borderId="10" xfId="0" applyNumberFormat="1" applyFont="1" applyFill="1" applyBorder="1" applyAlignment="1" applyProtection="1">
      <alignment horizontal="center" textRotation="90"/>
      <protection locked="0"/>
    </xf>
    <xf numFmtId="0" fontId="11" fillId="0" borderId="0" xfId="0" applyFont="1" applyAlignment="1" applyProtection="1">
      <alignment horizontal="left"/>
      <protection locked="0"/>
    </xf>
    <xf numFmtId="1" fontId="7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2" fontId="6" fillId="34" borderId="10" xfId="0" applyNumberFormat="1" applyFont="1" applyFill="1" applyBorder="1" applyAlignment="1" applyProtection="1">
      <alignment horizontal="center" textRotation="90"/>
      <protection locked="0"/>
    </xf>
    <xf numFmtId="2" fontId="11" fillId="0" borderId="0" xfId="0" applyNumberFormat="1" applyFont="1" applyAlignment="1" applyProtection="1">
      <alignment horizontal="left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textRotation="90"/>
      <protection locked="0"/>
    </xf>
    <xf numFmtId="2" fontId="6" fillId="34" borderId="16" xfId="0" applyNumberFormat="1" applyFont="1" applyFill="1" applyBorder="1" applyAlignment="1" applyProtection="1">
      <alignment horizontal="center" textRotation="90"/>
      <protection locked="0"/>
    </xf>
    <xf numFmtId="49" fontId="6" fillId="34" borderId="16" xfId="0" applyNumberFormat="1" applyFont="1" applyFill="1" applyBorder="1" applyAlignment="1" applyProtection="1">
      <alignment horizontal="center" textRotation="90"/>
      <protection locked="0"/>
    </xf>
    <xf numFmtId="49" fontId="6" fillId="0" borderId="0" xfId="0" applyNumberFormat="1" applyFont="1" applyBorder="1" applyAlignment="1" applyProtection="1">
      <alignment horizontal="center" textRotation="90"/>
      <protection locked="0"/>
    </xf>
    <xf numFmtId="2" fontId="11" fillId="0" borderId="12" xfId="0" applyNumberFormat="1" applyFont="1" applyBorder="1" applyAlignment="1" applyProtection="1">
      <alignment horizontal="center"/>
      <protection locked="0"/>
    </xf>
    <xf numFmtId="2" fontId="11" fillId="0" borderId="10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2" fontId="11" fillId="0" borderId="17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11" fillId="0" borderId="15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3" fontId="16" fillId="0" borderId="10" xfId="0" applyNumberFormat="1" applyFont="1" applyBorder="1" applyAlignment="1">
      <alignment horizontal="right" wrapText="1"/>
    </xf>
    <xf numFmtId="0" fontId="16" fillId="0" borderId="15" xfId="0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2" fontId="11" fillId="0" borderId="10" xfId="0" applyNumberFormat="1" applyFont="1" applyFill="1" applyBorder="1" applyAlignment="1" applyProtection="1">
      <alignment horizontal="center" wrapText="1"/>
      <protection/>
    </xf>
    <xf numFmtId="0" fontId="7" fillId="33" borderId="18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7" fillId="33" borderId="20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wrapText="1"/>
    </xf>
    <xf numFmtId="190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" fontId="21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3" fontId="11" fillId="0" borderId="10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3" fontId="16" fillId="0" borderId="10" xfId="0" applyNumberFormat="1" applyFont="1" applyBorder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3" fontId="11" fillId="0" borderId="23" xfId="0" applyNumberFormat="1" applyFont="1" applyFill="1" applyBorder="1" applyAlignment="1">
      <alignment wrapText="1"/>
    </xf>
    <xf numFmtId="2" fontId="11" fillId="0" borderId="23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16" fillId="0" borderId="10" xfId="0" applyNumberFormat="1" applyFont="1" applyBorder="1" applyAlignment="1">
      <alignment horizontal="center"/>
    </xf>
    <xf numFmtId="0" fontId="23" fillId="0" borderId="0" xfId="0" applyFont="1" applyAlignment="1" applyProtection="1">
      <alignment/>
      <protection locked="0"/>
    </xf>
    <xf numFmtId="3" fontId="23" fillId="0" borderId="0" xfId="0" applyNumberFormat="1" applyFont="1" applyAlignment="1" applyProtection="1">
      <alignment horizontal="center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center"/>
      <protection locked="0"/>
    </xf>
    <xf numFmtId="1" fontId="24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25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center"/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1" fontId="21" fillId="33" borderId="22" xfId="0" applyNumberFormat="1" applyFont="1" applyFill="1" applyBorder="1" applyAlignment="1">
      <alignment horizontal="center" vertical="center"/>
    </xf>
    <xf numFmtId="1" fontId="21" fillId="33" borderId="20" xfId="0" applyNumberFormat="1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1" fontId="21" fillId="33" borderId="21" xfId="0" applyNumberFormat="1" applyFont="1" applyFill="1" applyBorder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8" fillId="0" borderId="10" xfId="0" applyFont="1" applyBorder="1" applyAlignment="1" applyProtection="1">
      <alignment horizontal="center"/>
      <protection locked="0"/>
    </xf>
    <xf numFmtId="0" fontId="28" fillId="34" borderId="10" xfId="0" applyFont="1" applyFill="1" applyBorder="1" applyAlignment="1" applyProtection="1">
      <alignment horizontal="left" wrapText="1"/>
      <protection/>
    </xf>
    <xf numFmtId="0" fontId="28" fillId="34" borderId="10" xfId="0" applyFont="1" applyFill="1" applyBorder="1" applyAlignment="1" applyProtection="1">
      <alignment/>
      <protection/>
    </xf>
    <xf numFmtId="49" fontId="0" fillId="34" borderId="10" xfId="0" applyNumberFormat="1" applyFill="1" applyBorder="1" applyAlignment="1" applyProtection="1">
      <alignment horizontal="center" textRotation="90"/>
      <protection/>
    </xf>
    <xf numFmtId="3" fontId="29" fillId="0" borderId="0" xfId="0" applyNumberFormat="1" applyFont="1" applyAlignment="1" applyProtection="1">
      <alignment horizontal="left"/>
      <protection locked="0"/>
    </xf>
    <xf numFmtId="49" fontId="11" fillId="34" borderId="21" xfId="0" applyNumberFormat="1" applyFont="1" applyFill="1" applyBorder="1" applyAlignment="1" applyProtection="1">
      <alignment vertical="center" wrapText="1"/>
      <protection/>
    </xf>
    <xf numFmtId="49" fontId="11" fillId="34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left"/>
    </xf>
    <xf numFmtId="0" fontId="16" fillId="0" borderId="15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left"/>
    </xf>
    <xf numFmtId="3" fontId="16" fillId="0" borderId="15" xfId="0" applyNumberFormat="1" applyFont="1" applyBorder="1" applyAlignment="1">
      <alignment/>
    </xf>
    <xf numFmtId="3" fontId="16" fillId="0" borderId="15" xfId="0" applyNumberFormat="1" applyFont="1" applyBorder="1" applyAlignment="1">
      <alignment horizontal="right" wrapText="1"/>
    </xf>
    <xf numFmtId="3" fontId="16" fillId="0" borderId="17" xfId="0" applyNumberFormat="1" applyFont="1" applyBorder="1" applyAlignment="1">
      <alignment/>
    </xf>
    <xf numFmtId="3" fontId="16" fillId="0" borderId="17" xfId="0" applyNumberFormat="1" applyFont="1" applyBorder="1" applyAlignment="1">
      <alignment horizontal="right" wrapText="1"/>
    </xf>
    <xf numFmtId="2" fontId="16" fillId="0" borderId="15" xfId="0" applyNumberFormat="1" applyFont="1" applyBorder="1" applyAlignment="1">
      <alignment horizontal="center"/>
    </xf>
    <xf numFmtId="2" fontId="16" fillId="0" borderId="17" xfId="0" applyNumberFormat="1" applyFont="1" applyBorder="1" applyAlignment="1">
      <alignment horizontal="center"/>
    </xf>
    <xf numFmtId="190" fontId="20" fillId="0" borderId="10" xfId="0" applyNumberFormat="1" applyFont="1" applyBorder="1" applyAlignment="1">
      <alignment horizontal="right" indent="1"/>
    </xf>
    <xf numFmtId="190" fontId="2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right" wrapText="1"/>
      <protection/>
    </xf>
    <xf numFmtId="1" fontId="0" fillId="0" borderId="10" xfId="0" applyNumberFormat="1" applyFont="1" applyFill="1" applyBorder="1" applyAlignment="1" applyProtection="1">
      <alignment horizontal="center" wrapText="1"/>
      <protection/>
    </xf>
    <xf numFmtId="1" fontId="0" fillId="0" borderId="10" xfId="0" applyNumberFormat="1" applyFont="1" applyFill="1" applyBorder="1" applyAlignment="1" applyProtection="1" quotePrefix="1">
      <alignment horizontal="center" wrapText="1"/>
      <protection/>
    </xf>
    <xf numFmtId="1" fontId="0" fillId="0" borderId="10" xfId="0" applyNumberFormat="1" applyFont="1" applyBorder="1" applyAlignment="1" applyProtection="1">
      <alignment/>
      <protection locked="0"/>
    </xf>
    <xf numFmtId="1" fontId="20" fillId="0" borderId="10" xfId="0" applyNumberFormat="1" applyFont="1" applyBorder="1" applyAlignment="1" applyProtection="1">
      <alignment/>
      <protection locked="0"/>
    </xf>
    <xf numFmtId="49" fontId="26" fillId="34" borderId="16" xfId="0" applyNumberFormat="1" applyFont="1" applyFill="1" applyBorder="1" applyAlignment="1" applyProtection="1">
      <alignment horizontal="center" textRotation="90"/>
      <protection/>
    </xf>
    <xf numFmtId="3" fontId="20" fillId="0" borderId="27" xfId="0" applyNumberFormat="1" applyFont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1" fontId="7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vertical="center"/>
      <protection locked="0"/>
    </xf>
    <xf numFmtId="3" fontId="20" fillId="0" borderId="0" xfId="0" applyNumberFormat="1" applyFont="1" applyBorder="1" applyAlignment="1">
      <alignment horizontal="center"/>
    </xf>
    <xf numFmtId="1" fontId="30" fillId="0" borderId="0" xfId="0" applyNumberFormat="1" applyFont="1" applyAlignment="1" applyProtection="1">
      <alignment horizontal="center"/>
      <protection locked="0"/>
    </xf>
    <xf numFmtId="2" fontId="4" fillId="0" borderId="10" xfId="0" applyNumberFormat="1" applyFont="1" applyBorder="1" applyAlignment="1">
      <alignment horizontal="center" vertical="center"/>
    </xf>
    <xf numFmtId="0" fontId="6" fillId="34" borderId="10" xfId="0" applyFont="1" applyFill="1" applyBorder="1" applyAlignment="1" applyProtection="1">
      <alignment horizontal="left"/>
      <protection/>
    </xf>
    <xf numFmtId="190" fontId="20" fillId="0" borderId="10" xfId="0" applyNumberFormat="1" applyFont="1" applyBorder="1" applyAlignment="1">
      <alignment horizontal="right" indent="1"/>
    </xf>
    <xf numFmtId="3" fontId="20" fillId="0" borderId="0" xfId="0" applyNumberFormat="1" applyFont="1" applyBorder="1" applyAlignment="1">
      <alignment horizontal="center"/>
    </xf>
    <xf numFmtId="3" fontId="20" fillId="0" borderId="27" xfId="0" applyNumberFormat="1" applyFont="1" applyBorder="1" applyAlignment="1">
      <alignment horizontal="center"/>
    </xf>
    <xf numFmtId="190" fontId="6" fillId="0" borderId="0" xfId="0" applyNumberFormat="1" applyFont="1" applyFill="1" applyAlignment="1">
      <alignment vertical="center"/>
    </xf>
    <xf numFmtId="2" fontId="0" fillId="0" borderId="10" xfId="0" applyNumberFormat="1" applyFont="1" applyBorder="1" applyAlignment="1">
      <alignment horizontal="left"/>
    </xf>
    <xf numFmtId="0" fontId="29" fillId="0" borderId="0" xfId="0" applyFont="1" applyAlignment="1" applyProtection="1">
      <alignment/>
      <protection locked="0"/>
    </xf>
    <xf numFmtId="49" fontId="29" fillId="0" borderId="0" xfId="0" applyNumberFormat="1" applyFont="1" applyAlignment="1" applyProtection="1">
      <alignment textRotation="90"/>
      <protection locked="0"/>
    </xf>
    <xf numFmtId="0" fontId="13" fillId="0" borderId="0" xfId="0" applyFont="1" applyBorder="1" applyAlignment="1" applyProtection="1">
      <alignment/>
      <protection locked="0"/>
    </xf>
    <xf numFmtId="1" fontId="6" fillId="0" borderId="0" xfId="0" applyNumberFormat="1" applyFont="1" applyFill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49" fontId="31" fillId="34" borderId="16" xfId="0" applyNumberFormat="1" applyFont="1" applyFill="1" applyBorder="1" applyAlignment="1" applyProtection="1">
      <alignment horizontal="center" textRotation="90"/>
      <protection/>
    </xf>
    <xf numFmtId="0" fontId="32" fillId="0" borderId="0" xfId="0" applyFont="1" applyAlignment="1" applyProtection="1">
      <alignment vertical="center"/>
      <protection locked="0"/>
    </xf>
    <xf numFmtId="0" fontId="33" fillId="0" borderId="1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Alignment="1" applyProtection="1">
      <alignment horizontal="center"/>
      <protection locked="0"/>
    </xf>
    <xf numFmtId="1" fontId="31" fillId="0" borderId="0" xfId="0" applyNumberFormat="1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11" fillId="0" borderId="1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0" fillId="34" borderId="10" xfId="0" applyNumberFormat="1" applyFont="1" applyFill="1" applyBorder="1" applyAlignment="1" applyProtection="1">
      <alignment horizontal="center" textRotation="90"/>
      <protection/>
    </xf>
    <xf numFmtId="49" fontId="0" fillId="34" borderId="16" xfId="0" applyNumberFormat="1" applyFont="1" applyFill="1" applyBorder="1" applyAlignment="1" applyProtection="1">
      <alignment horizontal="center" textRotation="90"/>
      <protection/>
    </xf>
    <xf numFmtId="1" fontId="6" fillId="0" borderId="0" xfId="0" applyNumberFormat="1" applyFont="1" applyBorder="1" applyAlignment="1" applyProtection="1">
      <alignment textRotation="90"/>
      <protection locked="0"/>
    </xf>
    <xf numFmtId="1" fontId="6" fillId="34" borderId="16" xfId="0" applyNumberFormat="1" applyFont="1" applyFill="1" applyBorder="1" applyAlignment="1" applyProtection="1">
      <alignment horizontal="center" textRotation="90"/>
      <protection locked="0"/>
    </xf>
    <xf numFmtId="1" fontId="6" fillId="34" borderId="11" xfId="0" applyNumberFormat="1" applyFont="1" applyFill="1" applyBorder="1" applyAlignment="1" applyProtection="1">
      <alignment/>
      <protection locked="0"/>
    </xf>
    <xf numFmtId="1" fontId="0" fillId="0" borderId="28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6" fillId="34" borderId="10" xfId="0" applyNumberFormat="1" applyFont="1" applyFill="1" applyBorder="1" applyAlignment="1" applyProtection="1">
      <alignment/>
      <protection locked="0"/>
    </xf>
    <xf numFmtId="1" fontId="6" fillId="34" borderId="10" xfId="0" applyNumberFormat="1" applyFont="1" applyFill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1" fontId="31" fillId="0" borderId="10" xfId="0" applyNumberFormat="1" applyFont="1" applyFill="1" applyBorder="1" applyAlignment="1" applyProtection="1" quotePrefix="1">
      <alignment horizontal="center" wrapText="1"/>
      <protection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0" fillId="0" borderId="16" xfId="0" applyNumberFormat="1" applyFont="1" applyBorder="1" applyAlignment="1">
      <alignment horizontal="left"/>
    </xf>
    <xf numFmtId="2" fontId="0" fillId="0" borderId="16" xfId="0" applyNumberFormat="1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2" fontId="0" fillId="0" borderId="25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16" fillId="0" borderId="25" xfId="0" applyFont="1" applyBorder="1" applyAlignment="1">
      <alignment horizontal="left"/>
    </xf>
    <xf numFmtId="2" fontId="16" fillId="0" borderId="25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2" fontId="16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207" fontId="0" fillId="34" borderId="10" xfId="0" applyNumberFormat="1" applyFill="1" applyBorder="1" applyAlignment="1" applyProtection="1">
      <alignment horizontal="center" textRotation="90"/>
      <protection/>
    </xf>
    <xf numFmtId="207" fontId="0" fillId="34" borderId="16" xfId="0" applyNumberFormat="1" applyFill="1" applyBorder="1" applyAlignment="1" applyProtection="1">
      <alignment horizontal="center" textRotation="90"/>
      <protection/>
    </xf>
    <xf numFmtId="207" fontId="0" fillId="34" borderId="16" xfId="0" applyNumberFormat="1" applyFont="1" applyFill="1" applyBorder="1" applyAlignment="1" applyProtection="1">
      <alignment horizontal="center" textRotation="90"/>
      <protection/>
    </xf>
    <xf numFmtId="207" fontId="0" fillId="34" borderId="16" xfId="0" applyNumberFormat="1" applyFont="1" applyFill="1" applyBorder="1" applyAlignment="1" applyProtection="1">
      <alignment horizontal="center" textRotation="90"/>
      <protection/>
    </xf>
    <xf numFmtId="207" fontId="0" fillId="34" borderId="10" xfId="0" applyNumberFormat="1" applyFont="1" applyFill="1" applyBorder="1" applyAlignment="1" applyProtection="1">
      <alignment horizontal="center" textRotation="90"/>
      <protection/>
    </xf>
    <xf numFmtId="207" fontId="0" fillId="34" borderId="10" xfId="0" applyNumberFormat="1" applyFont="1" applyFill="1" applyBorder="1" applyAlignment="1" applyProtection="1">
      <alignment horizontal="center" textRotation="90"/>
      <protection/>
    </xf>
    <xf numFmtId="3" fontId="0" fillId="0" borderId="10" xfId="0" applyNumberFormat="1" applyFont="1" applyFill="1" applyBorder="1" applyAlignment="1">
      <alignment wrapText="1"/>
    </xf>
    <xf numFmtId="3" fontId="0" fillId="0" borderId="15" xfId="0" applyNumberFormat="1" applyFont="1" applyFill="1" applyBorder="1" applyAlignment="1">
      <alignment wrapText="1"/>
    </xf>
    <xf numFmtId="3" fontId="0" fillId="0" borderId="29" xfId="0" applyNumberFormat="1" applyFont="1" applyFill="1" applyBorder="1" applyAlignment="1">
      <alignment wrapText="1"/>
    </xf>
    <xf numFmtId="3" fontId="0" fillId="0" borderId="17" xfId="0" applyNumberFormat="1" applyFont="1" applyFill="1" applyBorder="1" applyAlignment="1">
      <alignment wrapText="1"/>
    </xf>
    <xf numFmtId="3" fontId="0" fillId="0" borderId="3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2" fontId="0" fillId="0" borderId="15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2" fontId="0" fillId="0" borderId="30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left"/>
    </xf>
    <xf numFmtId="3" fontId="16" fillId="0" borderId="15" xfId="0" applyNumberFormat="1" applyFont="1" applyBorder="1" applyAlignment="1">
      <alignment horizontal="center"/>
    </xf>
    <xf numFmtId="3" fontId="16" fillId="0" borderId="17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left"/>
    </xf>
    <xf numFmtId="1" fontId="11" fillId="0" borderId="10" xfId="0" applyNumberFormat="1" applyFont="1" applyBorder="1" applyAlignment="1">
      <alignment horizontal="left"/>
    </xf>
    <xf numFmtId="1" fontId="11" fillId="0" borderId="15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1" fontId="11" fillId="0" borderId="17" xfId="0" applyNumberFormat="1" applyFont="1" applyBorder="1" applyAlignment="1">
      <alignment horizontal="left"/>
    </xf>
    <xf numFmtId="2" fontId="11" fillId="0" borderId="30" xfId="0" applyNumberFormat="1" applyFont="1" applyBorder="1" applyAlignment="1">
      <alignment horizontal="center"/>
    </xf>
    <xf numFmtId="16" fontId="6" fillId="34" borderId="16" xfId="0" applyNumberFormat="1" applyFont="1" applyFill="1" applyBorder="1" applyAlignment="1" applyProtection="1">
      <alignment horizontal="center" textRotation="90"/>
      <protection locked="0"/>
    </xf>
    <xf numFmtId="16" fontId="0" fillId="0" borderId="23" xfId="0" applyNumberFormat="1" applyBorder="1" applyAlignment="1" applyProtection="1">
      <alignment horizontal="center"/>
      <protection locked="0"/>
    </xf>
    <xf numFmtId="16" fontId="0" fillId="0" borderId="29" xfId="0" applyNumberFormat="1" applyFont="1" applyBorder="1" applyAlignment="1" applyProtection="1">
      <alignment horizontal="center"/>
      <protection locked="0"/>
    </xf>
    <xf numFmtId="16" fontId="0" fillId="0" borderId="30" xfId="0" applyNumberFormat="1" applyBorder="1" applyAlignment="1" applyProtection="1">
      <alignment horizontal="center"/>
      <protection locked="0"/>
    </xf>
    <xf numFmtId="16" fontId="0" fillId="0" borderId="15" xfId="0" applyNumberFormat="1" applyBorder="1" applyAlignment="1" applyProtection="1">
      <alignment horizontal="center"/>
      <protection locked="0"/>
    </xf>
    <xf numFmtId="16" fontId="0" fillId="0" borderId="10" xfId="0" applyNumberFormat="1" applyFont="1" applyBorder="1" applyAlignment="1" applyProtection="1">
      <alignment horizontal="center"/>
      <protection locked="0"/>
    </xf>
    <xf numFmtId="16" fontId="0" fillId="0" borderId="10" xfId="0" applyNumberFormat="1" applyBorder="1" applyAlignment="1" applyProtection="1">
      <alignment horizontal="center"/>
      <protection locked="0"/>
    </xf>
    <xf numFmtId="16" fontId="0" fillId="0" borderId="10" xfId="0" applyNumberFormat="1" applyFont="1" applyBorder="1" applyAlignment="1" applyProtection="1">
      <alignment horizontal="center"/>
      <protection locked="0"/>
    </xf>
    <xf numFmtId="16" fontId="6" fillId="0" borderId="0" xfId="0" applyNumberFormat="1" applyFont="1" applyBorder="1" applyAlignment="1" applyProtection="1">
      <alignment horizontal="center"/>
      <protection locked="0"/>
    </xf>
    <xf numFmtId="0" fontId="72" fillId="16" borderId="0" xfId="0" applyFont="1" applyFill="1" applyAlignment="1">
      <alignment horizontal="center"/>
    </xf>
    <xf numFmtId="16" fontId="72" fillId="16" borderId="0" xfId="0" applyNumberFormat="1" applyFont="1" applyFill="1" applyAlignment="1">
      <alignment horizontal="center"/>
    </xf>
    <xf numFmtId="20" fontId="72" fillId="4" borderId="0" xfId="0" applyNumberFormat="1" applyFont="1" applyFill="1" applyAlignment="1">
      <alignment horizontal="center"/>
    </xf>
    <xf numFmtId="0" fontId="0" fillId="4" borderId="0" xfId="0" applyFill="1" applyAlignment="1">
      <alignment/>
    </xf>
    <xf numFmtId="0" fontId="72" fillId="4" borderId="0" xfId="0" applyFont="1" applyFill="1" applyAlignment="1">
      <alignment horizontal="center"/>
    </xf>
    <xf numFmtId="20" fontId="7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72" fillId="0" borderId="0" xfId="0" applyFont="1" applyFill="1" applyAlignment="1">
      <alignment horizont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4" borderId="0" xfId="0" applyFill="1" applyAlignment="1">
      <alignment/>
    </xf>
    <xf numFmtId="1" fontId="0" fillId="0" borderId="16" xfId="0" applyNumberFormat="1" applyFont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16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6" fillId="34" borderId="13" xfId="0" applyNumberFormat="1" applyFont="1" applyFill="1" applyBorder="1" applyAlignment="1" applyProtection="1">
      <alignment horizontal="left" wrapText="1"/>
      <protection/>
    </xf>
    <xf numFmtId="1" fontId="6" fillId="34" borderId="10" xfId="0" applyNumberFormat="1" applyFont="1" applyFill="1" applyBorder="1" applyAlignment="1" applyProtection="1">
      <alignment wrapText="1"/>
      <protection/>
    </xf>
    <xf numFmtId="1" fontId="6" fillId="34" borderId="10" xfId="0" applyNumberFormat="1" applyFont="1" applyFill="1" applyBorder="1" applyAlignment="1" applyProtection="1">
      <alignment horizontal="left" wrapText="1"/>
      <protection/>
    </xf>
    <xf numFmtId="1" fontId="6" fillId="34" borderId="10" xfId="0" applyNumberFormat="1" applyFont="1" applyFill="1" applyBorder="1" applyAlignment="1" applyProtection="1">
      <alignment horizontal="left"/>
      <protection locked="0"/>
    </xf>
    <xf numFmtId="207" fontId="0" fillId="34" borderId="10" xfId="0" applyNumberFormat="1" applyFont="1" applyFill="1" applyBorder="1" applyAlignment="1" applyProtection="1">
      <alignment horizontal="center" textRotation="90"/>
      <protection/>
    </xf>
    <xf numFmtId="0" fontId="73" fillId="0" borderId="0" xfId="0" applyFont="1" applyAlignment="1">
      <alignment/>
    </xf>
    <xf numFmtId="0" fontId="0" fillId="0" borderId="0" xfId="0" applyFont="1" applyAlignment="1">
      <alignment/>
    </xf>
    <xf numFmtId="0" fontId="73" fillId="0" borderId="0" xfId="0" applyFont="1" applyAlignment="1">
      <alignment horizontal="center"/>
    </xf>
    <xf numFmtId="208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208" fontId="73" fillId="0" borderId="0" xfId="0" applyNumberFormat="1" applyFont="1" applyAlignment="1">
      <alignment/>
    </xf>
    <xf numFmtId="20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 quotePrefix="1">
      <alignment/>
    </xf>
    <xf numFmtId="1" fontId="0" fillId="35" borderId="10" xfId="0" applyNumberFormat="1" applyFont="1" applyFill="1" applyBorder="1" applyAlignment="1" applyProtection="1" quotePrefix="1">
      <alignment horizontal="center" wrapText="1"/>
      <protection/>
    </xf>
    <xf numFmtId="1" fontId="0" fillId="36" borderId="10" xfId="0" applyNumberFormat="1" applyFont="1" applyFill="1" applyBorder="1" applyAlignment="1" applyProtection="1">
      <alignment horizontal="center" wrapText="1"/>
      <protection/>
    </xf>
    <xf numFmtId="1" fontId="0" fillId="36" borderId="10" xfId="0" applyNumberFormat="1" applyFont="1" applyFill="1" applyBorder="1" applyAlignment="1" applyProtection="1" quotePrefix="1">
      <alignment horizontal="center" wrapText="1"/>
      <protection/>
    </xf>
    <xf numFmtId="0" fontId="4" fillId="36" borderId="10" xfId="0" applyFont="1" applyFill="1" applyBorder="1" applyAlignment="1">
      <alignment horizontal="left" vertical="center" wrapText="1" indent="1"/>
    </xf>
    <xf numFmtId="190" fontId="20" fillId="36" borderId="10" xfId="0" applyNumberFormat="1" applyFont="1" applyFill="1" applyBorder="1" applyAlignment="1">
      <alignment horizontal="right" indent="1"/>
    </xf>
    <xf numFmtId="3" fontId="4" fillId="36" borderId="10" xfId="0" applyNumberFormat="1" applyFont="1" applyFill="1" applyBorder="1" applyAlignment="1">
      <alignment horizontal="center" vertical="center"/>
    </xf>
    <xf numFmtId="1" fontId="4" fillId="36" borderId="10" xfId="0" applyNumberFormat="1" applyFont="1" applyFill="1" applyBorder="1" applyAlignment="1" quotePrefix="1">
      <alignment horizontal="center" vertical="center"/>
    </xf>
    <xf numFmtId="2" fontId="4" fillId="36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 applyProtection="1">
      <alignment horizontal="right" wrapText="1"/>
      <protection/>
    </xf>
    <xf numFmtId="0" fontId="13" fillId="0" borderId="10" xfId="0" applyFont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 quotePrefix="1">
      <alignment horizontal="center" wrapText="1"/>
      <protection/>
    </xf>
    <xf numFmtId="1" fontId="0" fillId="36" borderId="10" xfId="0" applyNumberFormat="1" applyFont="1" applyFill="1" applyBorder="1" applyAlignment="1" applyProtection="1" quotePrefix="1">
      <alignment horizontal="center" wrapText="1"/>
      <protection/>
    </xf>
    <xf numFmtId="1" fontId="31" fillId="36" borderId="10" xfId="0" applyNumberFormat="1" applyFont="1" applyFill="1" applyBorder="1" applyAlignment="1" applyProtection="1" quotePrefix="1">
      <alignment horizontal="center" wrapText="1"/>
      <protection/>
    </xf>
    <xf numFmtId="0" fontId="0" fillId="4" borderId="0" xfId="0" applyFill="1" applyAlignment="1">
      <alignment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" fontId="0" fillId="35" borderId="10" xfId="0" applyNumberFormat="1" applyFill="1" applyBorder="1" applyAlignment="1" applyProtection="1" quotePrefix="1">
      <alignment horizontal="center" wrapText="1"/>
      <protection/>
    </xf>
    <xf numFmtId="1" fontId="74" fillId="35" borderId="10" xfId="0" applyNumberFormat="1" applyFont="1" applyFill="1" applyBorder="1" applyAlignment="1" applyProtection="1" quotePrefix="1">
      <alignment horizontal="center" wrapText="1"/>
      <protection/>
    </xf>
    <xf numFmtId="0" fontId="75" fillId="0" borderId="10" xfId="0" applyFont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 quotePrefix="1">
      <alignment horizontal="center" wrapText="1"/>
      <protection/>
    </xf>
    <xf numFmtId="1" fontId="0" fillId="35" borderId="10" xfId="0" applyNumberFormat="1" applyFont="1" applyFill="1" applyBorder="1" applyAlignment="1" applyProtection="1" quotePrefix="1">
      <alignment horizontal="center" wrapText="1"/>
      <protection/>
    </xf>
    <xf numFmtId="49" fontId="0" fillId="34" borderId="10" xfId="0" applyNumberFormat="1" applyFont="1" applyFill="1" applyBorder="1" applyAlignment="1" applyProtection="1">
      <alignment horizontal="center" textRotation="90"/>
      <protection/>
    </xf>
    <xf numFmtId="1" fontId="0" fillId="35" borderId="10" xfId="0" applyNumberFormat="1" applyFont="1" applyFill="1" applyBorder="1" applyAlignment="1" applyProtection="1" quotePrefix="1">
      <alignment horizontal="center" wrapText="1"/>
      <protection/>
    </xf>
    <xf numFmtId="0" fontId="6" fillId="34" borderId="10" xfId="0" applyFont="1" applyFill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6" fillId="34" borderId="14" xfId="0" applyNumberFormat="1" applyFont="1" applyFill="1" applyBorder="1" applyAlignment="1" applyProtection="1">
      <alignment wrapText="1"/>
      <protection/>
    </xf>
    <xf numFmtId="1" fontId="6" fillId="34" borderId="15" xfId="0" applyNumberFormat="1" applyFont="1" applyFill="1" applyBorder="1" applyAlignment="1" applyProtection="1">
      <alignment horizontal="left"/>
      <protection/>
    </xf>
    <xf numFmtId="1" fontId="0" fillId="0" borderId="17" xfId="0" applyNumberFormat="1" applyFont="1" applyBorder="1" applyAlignment="1" applyProtection="1">
      <alignment horizontal="center"/>
      <protection locked="0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2" fillId="37" borderId="24" xfId="0" applyFont="1" applyFill="1" applyBorder="1" applyAlignment="1">
      <alignment horizontal="center" vertical="center"/>
    </xf>
    <xf numFmtId="0" fontId="22" fillId="37" borderId="25" xfId="0" applyFont="1" applyFill="1" applyBorder="1" applyAlignment="1">
      <alignment horizontal="center" vertical="center"/>
    </xf>
    <xf numFmtId="0" fontId="22" fillId="37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7" fillId="38" borderId="21" xfId="0" applyFont="1" applyFill="1" applyBorder="1" applyAlignment="1">
      <alignment horizontal="center"/>
    </xf>
    <xf numFmtId="0" fontId="17" fillId="38" borderId="22" xfId="0" applyFont="1" applyFill="1" applyBorder="1" applyAlignment="1">
      <alignment horizontal="center"/>
    </xf>
    <xf numFmtId="0" fontId="17" fillId="38" borderId="2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3" fillId="10" borderId="0" xfId="0" applyFont="1" applyFill="1" applyAlignment="1">
      <alignment horizontal="center"/>
    </xf>
    <xf numFmtId="208" fontId="73" fillId="10" borderId="0" xfId="0" applyNumberFormat="1" applyFont="1" applyFill="1" applyAlignment="1">
      <alignment horizontal="center"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 2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1</xdr:row>
      <xdr:rowOff>104775</xdr:rowOff>
    </xdr:from>
    <xdr:to>
      <xdr:col>1</xdr:col>
      <xdr:colOff>1066800</xdr:colOff>
      <xdr:row>1</xdr:row>
      <xdr:rowOff>609600</xdr:rowOff>
    </xdr:to>
    <xdr:pic>
      <xdr:nvPicPr>
        <xdr:cNvPr id="1" name="Picture 1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1910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41</xdr:col>
      <xdr:colOff>0</xdr:colOff>
      <xdr:row>5</xdr:row>
      <xdr:rowOff>0</xdr:rowOff>
    </xdr:from>
    <xdr:ext cx="0" cy="762000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26774775" y="1609725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0</xdr:colOff>
      <xdr:row>6</xdr:row>
      <xdr:rowOff>0</xdr:rowOff>
    </xdr:from>
    <xdr:ext cx="0" cy="762000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26774775" y="1800225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52500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52500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52500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52500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85725</xdr:colOff>
      <xdr:row>6</xdr:row>
      <xdr:rowOff>38100</xdr:rowOff>
    </xdr:from>
    <xdr:ext cx="952500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905750" y="19907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52500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52500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52500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52500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52500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52500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52500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52500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52500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52500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52500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52500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52500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52500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52500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52500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52500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28</xdr:row>
      <xdr:rowOff>0</xdr:rowOff>
    </xdr:from>
    <xdr:ext cx="952500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6267450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9</xdr:col>
      <xdr:colOff>0</xdr:colOff>
      <xdr:row>28</xdr:row>
      <xdr:rowOff>0</xdr:rowOff>
    </xdr:from>
    <xdr:ext cx="952500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6267450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952500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6267450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52500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52500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52500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52500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52500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1</xdr:row>
      <xdr:rowOff>200025</xdr:rowOff>
    </xdr:from>
    <xdr:to>
      <xdr:col>1</xdr:col>
      <xdr:colOff>1028700</xdr:colOff>
      <xdr:row>1</xdr:row>
      <xdr:rowOff>695325</xdr:rowOff>
    </xdr:to>
    <xdr:pic>
      <xdr:nvPicPr>
        <xdr:cNvPr id="1" name="Picture 1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51435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52500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52500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52500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52500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52500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52500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52500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52500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52500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52500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52500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52500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52500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52500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52500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52500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52500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52500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52500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52500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52500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52500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52500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52500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52500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52500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52500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52500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52500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52500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1</xdr:row>
      <xdr:rowOff>219075</xdr:rowOff>
    </xdr:from>
    <xdr:to>
      <xdr:col>1</xdr:col>
      <xdr:colOff>1047750</xdr:colOff>
      <xdr:row>1</xdr:row>
      <xdr:rowOff>219075</xdr:rowOff>
    </xdr:to>
    <xdr:pic>
      <xdr:nvPicPr>
        <xdr:cNvPr id="1" name="Picture 1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30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523875</xdr:colOff>
      <xdr:row>1</xdr:row>
      <xdr:rowOff>219075</xdr:rowOff>
    </xdr:from>
    <xdr:to>
      <xdr:col>1</xdr:col>
      <xdr:colOff>1057275</xdr:colOff>
      <xdr:row>1</xdr:row>
      <xdr:rowOff>219075</xdr:rowOff>
    </xdr:to>
    <xdr:pic>
      <xdr:nvPicPr>
        <xdr:cNvPr id="2" name="Picture 1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9530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533400</xdr:colOff>
      <xdr:row>1</xdr:row>
      <xdr:rowOff>180975</xdr:rowOff>
    </xdr:from>
    <xdr:to>
      <xdr:col>1</xdr:col>
      <xdr:colOff>1066800</xdr:colOff>
      <xdr:row>1</xdr:row>
      <xdr:rowOff>704850</xdr:rowOff>
    </xdr:to>
    <xdr:pic>
      <xdr:nvPicPr>
        <xdr:cNvPr id="3" name="Picture 1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5720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52500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52500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52500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52500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52500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52500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52500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52500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52500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52500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52500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52500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18</xdr:row>
      <xdr:rowOff>0</xdr:rowOff>
    </xdr:from>
    <xdr:ext cx="952500" cy="86677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0025" y="46958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18</xdr:row>
      <xdr:rowOff>0</xdr:rowOff>
    </xdr:from>
    <xdr:ext cx="952500" cy="86677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20025" y="46958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18</xdr:row>
      <xdr:rowOff>0</xdr:rowOff>
    </xdr:from>
    <xdr:ext cx="952500" cy="86677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0025" y="46958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52500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52500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8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0025" y="24098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3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52500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52500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8</xdr:row>
      <xdr:rowOff>0</xdr:rowOff>
    </xdr:from>
    <xdr:ext cx="952500" cy="914400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0025" y="24098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2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409575</xdr:colOff>
      <xdr:row>0</xdr:row>
      <xdr:rowOff>142875</xdr:rowOff>
    </xdr:from>
    <xdr:to>
      <xdr:col>0</xdr:col>
      <xdr:colOff>1181100</xdr:colOff>
      <xdr:row>1</xdr:row>
      <xdr:rowOff>314325</xdr:rowOff>
    </xdr:to>
    <xdr:pic>
      <xdr:nvPicPr>
        <xdr:cNvPr id="3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42875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52500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52500" cy="914400"/>
    <xdr:sp>
      <xdr:nvSpPr>
        <xdr:cNvPr id="7" name="AutoShape 1" descr="000601c528b3$8334cda0$2302a8c0@ehc7rtu3eub91y"/>
        <xdr:cNvSpPr>
          <a:spLocks noChangeAspect="1"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</xdr:row>
      <xdr:rowOff>304800</xdr:rowOff>
    </xdr:from>
    <xdr:to>
      <xdr:col>1</xdr:col>
      <xdr:colOff>781050</xdr:colOff>
      <xdr:row>1</xdr:row>
      <xdr:rowOff>819150</xdr:rowOff>
    </xdr:to>
    <xdr:pic>
      <xdr:nvPicPr>
        <xdr:cNvPr id="1" name="Picture 1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276225</xdr:colOff>
      <xdr:row>1</xdr:row>
      <xdr:rowOff>323850</xdr:rowOff>
    </xdr:from>
    <xdr:to>
      <xdr:col>6</xdr:col>
      <xdr:colOff>809625</xdr:colOff>
      <xdr:row>1</xdr:row>
      <xdr:rowOff>847725</xdr:rowOff>
    </xdr:to>
    <xdr:pic>
      <xdr:nvPicPr>
        <xdr:cNvPr id="2" name="Picture 3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57150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17</xdr:row>
      <xdr:rowOff>0</xdr:rowOff>
    </xdr:from>
    <xdr:ext cx="952500" cy="86677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581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17</xdr:row>
      <xdr:rowOff>0</xdr:rowOff>
    </xdr:from>
    <xdr:ext cx="952500" cy="86677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581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952500" cy="86677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581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52500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581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52500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581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17</xdr:row>
      <xdr:rowOff>0</xdr:rowOff>
    </xdr:from>
    <xdr:ext cx="952500" cy="86677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17</xdr:row>
      <xdr:rowOff>0</xdr:rowOff>
    </xdr:from>
    <xdr:ext cx="952500" cy="86677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952500" cy="86677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52500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52500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17</xdr:row>
      <xdr:rowOff>0</xdr:rowOff>
    </xdr:from>
    <xdr:ext cx="952500" cy="86677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17</xdr:row>
      <xdr:rowOff>0</xdr:rowOff>
    </xdr:from>
    <xdr:ext cx="952500" cy="86677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17</xdr:row>
      <xdr:rowOff>0</xdr:rowOff>
    </xdr:from>
    <xdr:ext cx="952500" cy="86677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52500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52500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52500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52500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52500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0</xdr:rowOff>
    </xdr:from>
    <xdr:ext cx="952500" cy="847725"/>
    <xdr:sp>
      <xdr:nvSpPr>
        <xdr:cNvPr id="1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 descr="inngol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3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952500" cy="847725"/>
    <xdr:sp>
      <xdr:nvSpPr>
        <xdr:cNvPr id="4" name="AutoShape 1" descr="000601c528b3$8334cda0$2302a8c0@ehc7rtu3eub91y"/>
        <xdr:cNvSpPr>
          <a:spLocks noChangeAspect="1"/>
        </xdr:cNvSpPr>
      </xdr:nvSpPr>
      <xdr:spPr>
        <a:xfrm>
          <a:off x="7820025" y="7058025"/>
          <a:ext cx="9525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952500" cy="914400"/>
    <xdr:sp>
      <xdr:nvSpPr>
        <xdr:cNvPr id="5" name="AutoShape 1" descr="000601c528b3$8334cda0$2302a8c0@ehc7rtu3eub91y"/>
        <xdr:cNvSpPr>
          <a:spLocks noChangeAspect="1"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952500" cy="914400"/>
    <xdr:sp>
      <xdr:nvSpPr>
        <xdr:cNvPr id="6" name="AutoShape 1" descr="000601c528b3$8334cda0$2302a8c0@ehc7rtu3eub91y"/>
        <xdr:cNvSpPr>
          <a:spLocks noChangeAspect="1"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B1:Q30"/>
  <sheetViews>
    <sheetView showZeros="0" tabSelected="1" zoomScalePageLayoutView="0" workbookViewId="0" topLeftCell="B1">
      <selection activeCell="D32" sqref="D32"/>
    </sheetView>
  </sheetViews>
  <sheetFormatPr defaultColWidth="9.140625" defaultRowHeight="12.75"/>
  <cols>
    <col min="1" max="1" width="4.7109375" style="1" hidden="1" customWidth="1"/>
    <col min="2" max="2" width="4.7109375" style="1" customWidth="1"/>
    <col min="3" max="3" width="20.28125" style="20" bestFit="1" customWidth="1"/>
    <col min="4" max="4" width="6.8515625" style="2" customWidth="1"/>
    <col min="5" max="5" width="5.421875" style="2" customWidth="1"/>
    <col min="6" max="6" width="4.7109375" style="1" customWidth="1"/>
    <col min="7" max="7" width="20.28125" style="1" bestFit="1" customWidth="1"/>
    <col min="8" max="8" width="12.421875" style="21" customWidth="1"/>
    <col min="9" max="9" width="5.421875" style="1" customWidth="1"/>
    <col min="10" max="10" width="4.7109375" style="1" customWidth="1"/>
    <col min="11" max="11" width="20.28125" style="1" bestFit="1" customWidth="1"/>
    <col min="12" max="12" width="8.140625" style="103" customWidth="1"/>
    <col min="13" max="13" width="5.7109375" style="1" customWidth="1"/>
    <col min="14" max="14" width="4.7109375" style="1" customWidth="1"/>
    <col min="15" max="15" width="14.421875" style="1" customWidth="1"/>
    <col min="16" max="16" width="9.7109375" style="103" customWidth="1"/>
    <col min="17" max="16384" width="9.140625" style="1" customWidth="1"/>
  </cols>
  <sheetData>
    <row r="1" spans="2:16" ht="23.25" customHeight="1">
      <c r="B1" s="363" t="s">
        <v>104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</row>
    <row r="2" spans="2:16" s="105" customFormat="1" ht="15.75" thickBot="1">
      <c r="B2" s="364" t="s">
        <v>22</v>
      </c>
      <c r="C2" s="365"/>
      <c r="D2" s="366"/>
      <c r="E2" s="104"/>
      <c r="F2" s="364" t="s">
        <v>23</v>
      </c>
      <c r="G2" s="365"/>
      <c r="H2" s="366"/>
      <c r="J2" s="364" t="s">
        <v>24</v>
      </c>
      <c r="K2" s="365"/>
      <c r="L2" s="366"/>
      <c r="N2" s="364" t="s">
        <v>25</v>
      </c>
      <c r="O2" s="365"/>
      <c r="P2" s="366"/>
    </row>
    <row r="3" spans="2:16" ht="18" customHeight="1">
      <c r="B3" s="246">
        <v>1</v>
      </c>
      <c r="C3" s="193" t="str">
        <f>Point!B3</f>
        <v>Robin T</v>
      </c>
      <c r="D3" s="247">
        <f>Point!C3</f>
        <v>128</v>
      </c>
      <c r="E3" s="8"/>
      <c r="F3" s="13">
        <v>1</v>
      </c>
      <c r="G3" s="15" t="str">
        <f>Money!B3</f>
        <v>Robin T</v>
      </c>
      <c r="H3" s="101">
        <f>Money!C3</f>
        <v>24330000</v>
      </c>
      <c r="I3" s="8"/>
      <c r="J3" s="13">
        <v>1</v>
      </c>
      <c r="K3" s="14" t="str">
        <f>Puts!B3</f>
        <v>Robin T</v>
      </c>
      <c r="L3" s="102">
        <f>Puts!C3</f>
        <v>30.27777777777778</v>
      </c>
      <c r="M3" s="8"/>
      <c r="N3" s="13">
        <v>1</v>
      </c>
      <c r="O3" s="268" t="str">
        <f>'Tæt-flag'!B3</f>
        <v>Karsten V</v>
      </c>
      <c r="P3" s="102">
        <f>'Tæt-flag'!C3</f>
        <v>1.48</v>
      </c>
    </row>
    <row r="4" spans="2:16" ht="18" customHeight="1">
      <c r="B4" s="248">
        <v>2</v>
      </c>
      <c r="C4" s="222" t="str">
        <f>Point!B4</f>
        <v>Jan H</v>
      </c>
      <c r="D4" s="249">
        <f>Point!C4</f>
        <v>122</v>
      </c>
      <c r="E4" s="8"/>
      <c r="F4" s="16">
        <v>2</v>
      </c>
      <c r="G4" s="237" t="str">
        <f>Money!B4</f>
        <v>Jan H</v>
      </c>
      <c r="H4" s="239">
        <f>Money!C4</f>
        <v>24030000</v>
      </c>
      <c r="I4" s="8"/>
      <c r="J4" s="259">
        <v>2</v>
      </c>
      <c r="K4" s="254" t="str">
        <f>Puts!B4</f>
        <v>Jan H</v>
      </c>
      <c r="L4" s="260">
        <f>Puts!C4</f>
        <v>30.72222222222222</v>
      </c>
      <c r="M4" s="8"/>
      <c r="N4" s="16">
        <v>2</v>
      </c>
      <c r="O4" s="269" t="str">
        <f>'Tæt-flag'!B4</f>
        <v>Steen P</v>
      </c>
      <c r="P4" s="272">
        <f>'Tæt-flag'!C4</f>
        <v>1.59</v>
      </c>
    </row>
    <row r="5" spans="2:16" ht="18" customHeight="1" thickBot="1">
      <c r="B5" s="250">
        <v>3</v>
      </c>
      <c r="C5" s="223" t="str">
        <f>Point!B5</f>
        <v>Jesper VN</v>
      </c>
      <c r="D5" s="251">
        <f>Point!C5</f>
        <v>95</v>
      </c>
      <c r="E5" s="8"/>
      <c r="F5" s="17">
        <v>3</v>
      </c>
      <c r="G5" s="240" t="str">
        <f>Money!B5</f>
        <v>Morten C</v>
      </c>
      <c r="H5" s="241">
        <f>Money!C5</f>
        <v>17830000</v>
      </c>
      <c r="I5" s="8"/>
      <c r="J5" s="261">
        <v>3</v>
      </c>
      <c r="K5" s="262" t="str">
        <f>Puts!B5</f>
        <v>Jakob K</v>
      </c>
      <c r="L5" s="263">
        <f>Puts!C5</f>
        <v>31.666666666666668</v>
      </c>
      <c r="M5" s="8"/>
      <c r="N5" s="17">
        <v>3</v>
      </c>
      <c r="O5" s="273" t="str">
        <f>'Tæt-flag'!B5</f>
        <v>Ole M</v>
      </c>
      <c r="P5" s="274">
        <f>'Tæt-flag'!C5</f>
        <v>1.65</v>
      </c>
    </row>
    <row r="6" spans="2:16" ht="18" customHeight="1">
      <c r="B6" s="244">
        <v>4</v>
      </c>
      <c r="C6" s="224" t="str">
        <f>Point!B6</f>
        <v>Morten C</v>
      </c>
      <c r="D6" s="245">
        <f>Point!C6</f>
        <v>91</v>
      </c>
      <c r="E6" s="8"/>
      <c r="F6" s="18">
        <v>4</v>
      </c>
      <c r="G6" s="238" t="str">
        <f>Money!B6</f>
        <v>Jesper VN</v>
      </c>
      <c r="H6" s="238">
        <f>Money!C6</f>
        <v>17415000</v>
      </c>
      <c r="I6" s="8"/>
      <c r="J6" s="256">
        <v>4</v>
      </c>
      <c r="K6" s="257" t="str">
        <f>Puts!B6</f>
        <v>Carsten L</v>
      </c>
      <c r="L6" s="258">
        <f>Puts!C6</f>
        <v>32.333333333333336</v>
      </c>
      <c r="M6" s="8"/>
      <c r="N6" s="18">
        <v>4</v>
      </c>
      <c r="O6" s="270" t="str">
        <f>'Tæt-flag'!B6</f>
        <v>Jens L</v>
      </c>
      <c r="P6" s="271">
        <f>'Tæt-flag'!C6</f>
        <v>2.21</v>
      </c>
    </row>
    <row r="7" spans="2:16" ht="18" customHeight="1">
      <c r="B7" s="242">
        <v>5</v>
      </c>
      <c r="C7" s="222" t="str">
        <f>Point!B7</f>
        <v>Karsten V</v>
      </c>
      <c r="D7" s="243">
        <f>Point!C7</f>
        <v>87</v>
      </c>
      <c r="E7" s="8"/>
      <c r="F7" s="19">
        <v>5</v>
      </c>
      <c r="G7" s="237" t="str">
        <f>Money!B7</f>
        <v>Karsten V</v>
      </c>
      <c r="H7" s="237">
        <f>Money!C7</f>
        <v>16070000</v>
      </c>
      <c r="I7" s="8"/>
      <c r="J7" s="253">
        <v>5</v>
      </c>
      <c r="K7" s="254" t="str">
        <f>Puts!B7</f>
        <v>Erik P</v>
      </c>
      <c r="L7" s="255">
        <f>Puts!C7</f>
        <v>32.44444444444444</v>
      </c>
      <c r="M7" s="8"/>
      <c r="N7" s="19">
        <v>5</v>
      </c>
      <c r="O7" s="269" t="str">
        <f>'Tæt-flag'!B7</f>
        <v>Jesper VN</v>
      </c>
      <c r="P7" s="252">
        <f>'Tæt-flag'!C7</f>
        <v>2.27</v>
      </c>
    </row>
    <row r="8" spans="2:16" ht="18" customHeight="1">
      <c r="B8" s="242">
        <v>6</v>
      </c>
      <c r="C8" s="222" t="str">
        <f>Point!B8</f>
        <v>Per N</v>
      </c>
      <c r="D8" s="243">
        <f>Point!C8</f>
        <v>87</v>
      </c>
      <c r="E8" s="8"/>
      <c r="F8" s="19">
        <v>6</v>
      </c>
      <c r="G8" s="237" t="str">
        <f>Money!B8</f>
        <v>Per N</v>
      </c>
      <c r="H8" s="237">
        <f>Money!C8</f>
        <v>15695000</v>
      </c>
      <c r="I8" s="8"/>
      <c r="J8" s="253">
        <v>6</v>
      </c>
      <c r="K8" s="254" t="str">
        <f>Puts!B8</f>
        <v>Morten C</v>
      </c>
      <c r="L8" s="255">
        <f>Puts!C8</f>
        <v>32.55555555555556</v>
      </c>
      <c r="M8" s="8"/>
      <c r="N8" s="19">
        <v>6</v>
      </c>
      <c r="O8" s="269" t="str">
        <f>'Tæt-flag'!B8</f>
        <v>Morten</v>
      </c>
      <c r="P8" s="252">
        <f>'Tæt-flag'!C8</f>
        <v>2.29</v>
      </c>
    </row>
    <row r="9" spans="2:16" ht="18" customHeight="1">
      <c r="B9" s="242">
        <v>7</v>
      </c>
      <c r="C9" s="222" t="str">
        <f>Point!B9</f>
        <v>Jakob K</v>
      </c>
      <c r="D9" s="243">
        <f>Point!C9</f>
        <v>80</v>
      </c>
      <c r="E9" s="8"/>
      <c r="F9" s="19">
        <v>7</v>
      </c>
      <c r="G9" s="237" t="str">
        <f>Money!B9</f>
        <v>Jakob K</v>
      </c>
      <c r="H9" s="237">
        <f>Money!C9</f>
        <v>15130000</v>
      </c>
      <c r="I9" s="8"/>
      <c r="J9" s="253">
        <v>7</v>
      </c>
      <c r="K9" s="254" t="str">
        <f>Puts!B9</f>
        <v>Karsten V</v>
      </c>
      <c r="L9" s="255">
        <f>Puts!C9</f>
        <v>32.72222222222222</v>
      </c>
      <c r="M9" s="8"/>
      <c r="N9" s="19">
        <v>7</v>
      </c>
      <c r="O9" s="269" t="str">
        <f>'Tæt-flag'!B9</f>
        <v>Erik P</v>
      </c>
      <c r="P9" s="252">
        <f>'Tæt-flag'!C9</f>
        <v>2.83</v>
      </c>
    </row>
    <row r="10" spans="2:16" ht="18" customHeight="1">
      <c r="B10" s="242">
        <v>8</v>
      </c>
      <c r="C10" s="222" t="str">
        <f>Point!B10</f>
        <v>Steen NP</v>
      </c>
      <c r="D10" s="243">
        <f>Point!C10</f>
        <v>77</v>
      </c>
      <c r="E10" s="8"/>
      <c r="F10" s="19">
        <v>8</v>
      </c>
      <c r="G10" s="237" t="str">
        <f>Money!B10</f>
        <v>Steen N P</v>
      </c>
      <c r="H10" s="237">
        <f>Money!C10</f>
        <v>14980000</v>
      </c>
      <c r="I10" s="8"/>
      <c r="J10" s="253">
        <v>8</v>
      </c>
      <c r="K10" s="254" t="str">
        <f>Puts!B10</f>
        <v>Jesper VN</v>
      </c>
      <c r="L10" s="255">
        <f>Puts!C10</f>
        <v>33.55555555555556</v>
      </c>
      <c r="M10" s="8"/>
      <c r="N10" s="19">
        <v>8</v>
      </c>
      <c r="O10" s="269" t="str">
        <f>'Tæt-flag'!B10</f>
        <v>John S</v>
      </c>
      <c r="P10" s="252">
        <f>'Tæt-flag'!C10</f>
        <v>3.04</v>
      </c>
    </row>
    <row r="11" spans="2:16" ht="18" customHeight="1">
      <c r="B11" s="242">
        <v>9</v>
      </c>
      <c r="C11" s="222" t="str">
        <f>Point!B11</f>
        <v>Torben J</v>
      </c>
      <c r="D11" s="243">
        <f>Point!C11</f>
        <v>64</v>
      </c>
      <c r="E11" s="8"/>
      <c r="F11" s="19">
        <v>9</v>
      </c>
      <c r="G11" s="237" t="str">
        <f>Money!B11</f>
        <v>Torben J</v>
      </c>
      <c r="H11" s="237">
        <f>Money!C11</f>
        <v>11250000</v>
      </c>
      <c r="I11" s="8"/>
      <c r="J11" s="253">
        <v>9</v>
      </c>
      <c r="K11" s="254" t="str">
        <f>Puts!B11</f>
        <v>Ole M</v>
      </c>
      <c r="L11" s="255">
        <f>Puts!C11</f>
        <v>33.55555555555556</v>
      </c>
      <c r="M11" s="8"/>
      <c r="N11" s="19">
        <v>9</v>
      </c>
      <c r="O11" s="269" t="str">
        <f>'Tæt-flag'!B11</f>
        <v>Jakob K</v>
      </c>
      <c r="P11" s="252">
        <f>'Tæt-flag'!C11</f>
        <v>3.14</v>
      </c>
    </row>
    <row r="12" spans="2:16" ht="18" customHeight="1">
      <c r="B12" s="242">
        <v>10</v>
      </c>
      <c r="C12" s="222" t="str">
        <f>Point!B12</f>
        <v>Børge H</v>
      </c>
      <c r="D12" s="243">
        <f>Point!C12</f>
        <v>48</v>
      </c>
      <c r="E12" s="8"/>
      <c r="F12" s="19">
        <v>10</v>
      </c>
      <c r="G12" s="237" t="str">
        <f>Money!B12</f>
        <v>Carsten L</v>
      </c>
      <c r="H12" s="237">
        <f>Money!C12</f>
        <v>9620000</v>
      </c>
      <c r="I12" s="8"/>
      <c r="J12" s="253">
        <v>10</v>
      </c>
      <c r="K12" s="254" t="str">
        <f>Puts!B12</f>
        <v>Børge H</v>
      </c>
      <c r="L12" s="255">
        <f>Puts!C12</f>
        <v>34.388888888888886</v>
      </c>
      <c r="M12" s="8"/>
      <c r="N12" s="19">
        <v>10</v>
      </c>
      <c r="O12" s="269" t="str">
        <f>'Tæt-flag'!B12</f>
        <v>Robin </v>
      </c>
      <c r="P12" s="252">
        <f>'Tæt-flag'!C12</f>
        <v>3.22</v>
      </c>
    </row>
    <row r="13" spans="2:16" ht="18" customHeight="1">
      <c r="B13" s="242">
        <v>11</v>
      </c>
      <c r="C13" s="222" t="str">
        <f>Point!B13</f>
        <v>Carsten D</v>
      </c>
      <c r="D13" s="243">
        <f>Point!C13</f>
        <v>45</v>
      </c>
      <c r="E13" s="8"/>
      <c r="F13" s="19">
        <v>11</v>
      </c>
      <c r="G13" s="237" t="str">
        <f>Money!B13</f>
        <v>Børge H</v>
      </c>
      <c r="H13" s="237">
        <f>Money!C13</f>
        <v>8845000</v>
      </c>
      <c r="I13" s="8"/>
      <c r="J13" s="253">
        <v>11</v>
      </c>
      <c r="K13" s="254" t="str">
        <f>Puts!B13</f>
        <v>Steen NP</v>
      </c>
      <c r="L13" s="255">
        <f>Puts!C13</f>
        <v>34.55555555555556</v>
      </c>
      <c r="M13" s="8"/>
      <c r="N13" s="211"/>
      <c r="O13" s="212"/>
      <c r="P13" s="213"/>
    </row>
    <row r="14" spans="2:16" ht="18" customHeight="1">
      <c r="B14" s="242">
        <v>12</v>
      </c>
      <c r="C14" s="222" t="str">
        <f>Point!B14</f>
        <v>Carsten L</v>
      </c>
      <c r="D14" s="243">
        <f>Point!C14</f>
        <v>44</v>
      </c>
      <c r="E14" s="8"/>
      <c r="F14" s="19">
        <v>12</v>
      </c>
      <c r="G14" s="237" t="str">
        <f>Money!B14</f>
        <v>Erik P</v>
      </c>
      <c r="H14" s="237">
        <f>Money!C14</f>
        <v>8600000</v>
      </c>
      <c r="I14" s="8"/>
      <c r="J14" s="253">
        <v>12</v>
      </c>
      <c r="K14" s="254" t="str">
        <f>Puts!B14</f>
        <v>Per N</v>
      </c>
      <c r="L14" s="255">
        <f>Puts!C14</f>
        <v>34.72222222222222</v>
      </c>
      <c r="M14" s="8"/>
      <c r="N14" s="359" t="s">
        <v>48</v>
      </c>
      <c r="O14" s="359"/>
      <c r="P14" s="359"/>
    </row>
    <row r="15" spans="2:16" ht="18" customHeight="1">
      <c r="B15" s="242">
        <v>13</v>
      </c>
      <c r="C15" s="222" t="str">
        <f>Point!B15</f>
        <v>Erik P</v>
      </c>
      <c r="D15" s="243">
        <f>Point!C15</f>
        <v>41</v>
      </c>
      <c r="E15" s="8"/>
      <c r="F15" s="19">
        <v>13</v>
      </c>
      <c r="G15" s="237" t="str">
        <f>Money!B15</f>
        <v>Carsten D</v>
      </c>
      <c r="H15" s="237">
        <f>Money!C15</f>
        <v>7970000</v>
      </c>
      <c r="I15" s="8"/>
      <c r="J15" s="253">
        <v>13</v>
      </c>
      <c r="K15" s="254" t="str">
        <f>Puts!B15</f>
        <v>Torben J</v>
      </c>
      <c r="L15" s="255">
        <f>Puts!C15</f>
        <v>35.22222222222222</v>
      </c>
      <c r="M15" s="8"/>
      <c r="N15" s="148">
        <v>1</v>
      </c>
      <c r="O15" s="149" t="str">
        <f>'Tæt-flag'!G3</f>
        <v>Steen P</v>
      </c>
      <c r="P15" s="180" t="str">
        <f>'Tæt-flag'!H3</f>
        <v>Vejle, Rød 1</v>
      </c>
    </row>
    <row r="16" spans="2:16" ht="18" customHeight="1">
      <c r="B16" s="242">
        <v>14</v>
      </c>
      <c r="C16" s="222" t="str">
        <f>Point!B16</f>
        <v>Jens L</v>
      </c>
      <c r="D16" s="243">
        <f>Point!C16</f>
        <v>38</v>
      </c>
      <c r="E16" s="8"/>
      <c r="F16" s="19">
        <v>14</v>
      </c>
      <c r="G16" s="237" t="str">
        <f>Money!B16</f>
        <v>Jens L</v>
      </c>
      <c r="H16" s="237">
        <f>Money!C16</f>
        <v>7350000</v>
      </c>
      <c r="I16" s="8"/>
      <c r="J16" s="253">
        <v>14</v>
      </c>
      <c r="K16" s="254" t="str">
        <f>Puts!B16</f>
        <v>Kristian P</v>
      </c>
      <c r="L16" s="255">
        <f>Puts!C16</f>
        <v>35.388888888888886</v>
      </c>
      <c r="M16" s="8"/>
      <c r="N16" s="148">
        <v>2</v>
      </c>
      <c r="O16" s="149" t="str">
        <f>'Tæt-flag'!G4</f>
        <v>Robin</v>
      </c>
      <c r="P16" s="180" t="str">
        <f>'Tæt-flag'!H4</f>
        <v>Kolding</v>
      </c>
    </row>
    <row r="17" spans="2:16" ht="18" customHeight="1">
      <c r="B17" s="242">
        <v>15</v>
      </c>
      <c r="C17" s="222" t="str">
        <f>Point!B17</f>
        <v>Bo H</v>
      </c>
      <c r="D17" s="243">
        <f>Point!C17</f>
        <v>35</v>
      </c>
      <c r="E17" s="8"/>
      <c r="F17" s="19">
        <v>15</v>
      </c>
      <c r="G17" s="237" t="str">
        <f>Money!B17</f>
        <v>Ole M</v>
      </c>
      <c r="H17" s="237">
        <f>Money!C17</f>
        <v>7150000</v>
      </c>
      <c r="I17" s="8"/>
      <c r="J17" s="253">
        <v>15</v>
      </c>
      <c r="K17" s="254" t="str">
        <f>Puts!B17</f>
        <v>Jens L</v>
      </c>
      <c r="L17" s="255">
        <f>Puts!C17</f>
        <v>35.833333333333336</v>
      </c>
      <c r="M17" s="8"/>
      <c r="N17" s="148">
        <v>3</v>
      </c>
      <c r="O17" s="149" t="str">
        <f>'Tæt-flag'!G5</f>
        <v>Carsten Lund</v>
      </c>
      <c r="P17" s="180" t="str">
        <f>'Tæt-flag'!H5</f>
        <v>Skoven 2</v>
      </c>
    </row>
    <row r="18" spans="2:16" ht="18" customHeight="1">
      <c r="B18" s="242">
        <v>16</v>
      </c>
      <c r="C18" s="222" t="str">
        <f>Point!B18</f>
        <v>Ole M</v>
      </c>
      <c r="D18" s="243">
        <f>Point!C18</f>
        <v>33</v>
      </c>
      <c r="E18" s="8"/>
      <c r="F18" s="19">
        <v>16</v>
      </c>
      <c r="G18" s="237" t="str">
        <f>Money!B18</f>
        <v>Bo H</v>
      </c>
      <c r="H18" s="237">
        <f>Money!C18</f>
        <v>6760000</v>
      </c>
      <c r="I18" s="8"/>
      <c r="J18" s="253">
        <v>16</v>
      </c>
      <c r="K18" s="254" t="str">
        <f>Puts!B18</f>
        <v>Hans MV</v>
      </c>
      <c r="L18" s="255">
        <f>Puts!C18</f>
        <v>36.05555555555556</v>
      </c>
      <c r="M18" s="8"/>
      <c r="N18" s="210">
        <v>4</v>
      </c>
      <c r="O18" s="217">
        <f>'Tæt-flag'!G6</f>
        <v>0</v>
      </c>
      <c r="P18" s="218">
        <f>'Tæt-flag'!H6</f>
        <v>0</v>
      </c>
    </row>
    <row r="19" spans="2:16" ht="18" customHeight="1">
      <c r="B19" s="242">
        <v>17</v>
      </c>
      <c r="C19" s="222" t="str">
        <f>Point!B19</f>
        <v>Kristian P</v>
      </c>
      <c r="D19" s="243">
        <f>Point!C19</f>
        <v>27</v>
      </c>
      <c r="E19" s="8"/>
      <c r="F19" s="19">
        <v>17</v>
      </c>
      <c r="G19" s="237" t="str">
        <f>Money!B19</f>
        <v>Kristian P</v>
      </c>
      <c r="H19" s="237">
        <f>Money!C19</f>
        <v>5290000</v>
      </c>
      <c r="I19" s="8"/>
      <c r="J19" s="253">
        <v>17</v>
      </c>
      <c r="K19" s="254" t="str">
        <f>Puts!B19</f>
        <v>Carsten D</v>
      </c>
      <c r="L19" s="255">
        <f>Puts!C19</f>
        <v>36.166666666666664</v>
      </c>
      <c r="M19" s="8"/>
      <c r="N19" s="219"/>
      <c r="O19" s="220"/>
      <c r="P19" s="221"/>
    </row>
    <row r="20" spans="2:16" ht="18" customHeight="1">
      <c r="B20" s="242">
        <v>18</v>
      </c>
      <c r="C20" s="222" t="str">
        <f>Point!B20</f>
        <v>Martin A</v>
      </c>
      <c r="D20" s="243">
        <f>Point!C20</f>
        <v>13</v>
      </c>
      <c r="E20" s="8"/>
      <c r="F20" s="19">
        <v>18</v>
      </c>
      <c r="G20" s="237" t="str">
        <f>Money!B20</f>
        <v>John S</v>
      </c>
      <c r="H20" s="237">
        <f>Money!C20</f>
        <v>3520000</v>
      </c>
      <c r="I20" s="8"/>
      <c r="J20" s="253">
        <v>18</v>
      </c>
      <c r="K20" s="254" t="str">
        <f>Puts!B20</f>
        <v>Finn EC</v>
      </c>
      <c r="L20" s="255">
        <f>Puts!C20</f>
        <v>36.72222222222222</v>
      </c>
      <c r="M20" s="8"/>
      <c r="N20" s="211"/>
      <c r="O20" s="212"/>
      <c r="P20" s="213"/>
    </row>
    <row r="21" spans="2:16" ht="18" customHeight="1">
      <c r="B21" s="242">
        <v>19</v>
      </c>
      <c r="C21" s="222" t="str">
        <f>Point!B21</f>
        <v>John S</v>
      </c>
      <c r="D21" s="243">
        <f>Point!C21</f>
        <v>12</v>
      </c>
      <c r="E21" s="8"/>
      <c r="F21" s="19">
        <v>19</v>
      </c>
      <c r="G21" s="237" t="str">
        <f>Money!B21</f>
        <v>Martin A</v>
      </c>
      <c r="H21" s="237">
        <f>Money!C21</f>
        <v>3400000</v>
      </c>
      <c r="I21" s="8"/>
      <c r="J21" s="253">
        <v>19</v>
      </c>
      <c r="K21" s="254" t="str">
        <f>Puts!B21</f>
        <v>Henning B</v>
      </c>
      <c r="L21" s="255">
        <f>Puts!C21</f>
        <v>36.833333333333336</v>
      </c>
      <c r="M21" s="8"/>
      <c r="N21" s="367"/>
      <c r="O21" s="367"/>
      <c r="P21" s="367"/>
    </row>
    <row r="22" spans="2:16" ht="18" customHeight="1">
      <c r="B22" s="242">
        <v>20</v>
      </c>
      <c r="C22" s="222" t="str">
        <f>Point!B22</f>
        <v>Finn EC</v>
      </c>
      <c r="D22" s="243">
        <f>Point!C22</f>
        <v>11</v>
      </c>
      <c r="E22" s="8"/>
      <c r="F22" s="19">
        <v>20</v>
      </c>
      <c r="G22" s="237" t="str">
        <f>Money!B22</f>
        <v>Poul D A</v>
      </c>
      <c r="H22" s="237">
        <f>Money!C22</f>
        <v>2250000</v>
      </c>
      <c r="I22" s="8"/>
      <c r="J22" s="253">
        <v>20</v>
      </c>
      <c r="K22" s="254" t="str">
        <f>Puts!B22</f>
        <v>Bo H</v>
      </c>
      <c r="L22" s="255">
        <f>Puts!C22</f>
        <v>37.333333333333336</v>
      </c>
      <c r="M22" s="8"/>
      <c r="N22" s="214"/>
      <c r="O22" s="215"/>
      <c r="P22" s="216"/>
    </row>
    <row r="23" spans="2:16" ht="18" customHeight="1">
      <c r="B23" s="242">
        <v>21</v>
      </c>
      <c r="C23" s="222" t="str">
        <f>Point!B23</f>
        <v>Henning B</v>
      </c>
      <c r="D23" s="243">
        <f>Point!C23</f>
        <v>10</v>
      </c>
      <c r="E23" s="8"/>
      <c r="F23" s="19">
        <v>21</v>
      </c>
      <c r="G23" s="237" t="str">
        <f>Money!B23</f>
        <v>Henning B</v>
      </c>
      <c r="H23" s="237">
        <f>Money!C23</f>
        <v>2180000</v>
      </c>
      <c r="I23" s="8"/>
      <c r="J23" s="253">
        <v>21</v>
      </c>
      <c r="K23" s="254" t="str">
        <f>Puts!B23</f>
        <v>John S</v>
      </c>
      <c r="L23" s="255">
        <f>Puts!C23</f>
        <v>37.666666666666664</v>
      </c>
      <c r="M23" s="8"/>
      <c r="N23" s="214"/>
      <c r="O23" s="215"/>
      <c r="P23" s="216"/>
    </row>
    <row r="24" spans="2:16" ht="18" customHeight="1">
      <c r="B24" s="242">
        <v>22</v>
      </c>
      <c r="C24" s="222" t="str">
        <f>Point!B24</f>
        <v>Poul DA</v>
      </c>
      <c r="D24" s="243">
        <f>Point!C24</f>
        <v>8</v>
      </c>
      <c r="E24" s="8"/>
      <c r="F24" s="19">
        <v>22</v>
      </c>
      <c r="G24" s="237" t="str">
        <f>Money!B24</f>
        <v>Finn EC</v>
      </c>
      <c r="H24" s="237">
        <f>Money!C24</f>
        <v>1970000</v>
      </c>
      <c r="I24" s="8"/>
      <c r="J24" s="253">
        <v>22</v>
      </c>
      <c r="K24" s="254" t="str">
        <f>Puts!B24</f>
        <v>Poul D A</v>
      </c>
      <c r="L24" s="255">
        <f>Puts!C24</f>
        <v>38.166666666666664</v>
      </c>
      <c r="M24" s="8"/>
      <c r="N24" s="214"/>
      <c r="O24" s="215"/>
      <c r="P24" s="216"/>
    </row>
    <row r="25" spans="2:16" ht="18" customHeight="1">
      <c r="B25" s="242">
        <v>23</v>
      </c>
      <c r="C25" s="222" t="str">
        <f>Point!B25</f>
        <v>Henning V</v>
      </c>
      <c r="D25" s="243">
        <f>Point!C25</f>
        <v>8</v>
      </c>
      <c r="E25" s="8"/>
      <c r="F25" s="19">
        <v>23</v>
      </c>
      <c r="G25" s="237" t="str">
        <f>Money!B25</f>
        <v>Hans MV</v>
      </c>
      <c r="H25" s="237">
        <f>Money!C25</f>
        <v>1870000</v>
      </c>
      <c r="I25" s="8"/>
      <c r="J25" s="253">
        <v>23</v>
      </c>
      <c r="K25" s="254" t="str">
        <f>Puts!B25</f>
        <v>Henning V</v>
      </c>
      <c r="L25" s="255">
        <f>Puts!C25</f>
        <v>38.888888888888886</v>
      </c>
      <c r="M25" s="8"/>
      <c r="N25" s="214"/>
      <c r="O25" s="215"/>
      <c r="P25" s="216"/>
    </row>
    <row r="26" spans="2:17" s="12" customFormat="1" ht="18" customHeight="1">
      <c r="B26" s="242">
        <v>24</v>
      </c>
      <c r="C26" s="222" t="str">
        <f>Point!B26</f>
        <v>Hans MV</v>
      </c>
      <c r="D26" s="243">
        <f>Point!C26</f>
        <v>7</v>
      </c>
      <c r="E26" s="8"/>
      <c r="F26" s="19">
        <v>24</v>
      </c>
      <c r="G26" s="237" t="str">
        <f>Money!B26</f>
        <v>Henning V</v>
      </c>
      <c r="H26" s="237">
        <f>Money!C26</f>
        <v>1850000</v>
      </c>
      <c r="I26" s="8"/>
      <c r="J26" s="253">
        <v>24</v>
      </c>
      <c r="K26" s="254" t="str">
        <f>Puts!B26</f>
        <v>Martin A</v>
      </c>
      <c r="L26" s="255">
        <f>Puts!C26</f>
        <v>38.94444444444444</v>
      </c>
      <c r="M26" s="8"/>
      <c r="N26" s="214"/>
      <c r="O26" s="215"/>
      <c r="P26" s="216"/>
      <c r="Q26" s="1"/>
    </row>
    <row r="27" ht="13.5">
      <c r="C27" s="1"/>
    </row>
    <row r="28" spans="2:16" ht="13.5">
      <c r="B28" s="360" t="s">
        <v>26</v>
      </c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2"/>
    </row>
    <row r="29" spans="2:16" ht="13.5">
      <c r="B29" s="355" t="s">
        <v>27</v>
      </c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7"/>
    </row>
    <row r="30" spans="2:16" ht="13.5">
      <c r="B30" s="358" t="s">
        <v>297</v>
      </c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7"/>
    </row>
  </sheetData>
  <sheetProtection/>
  <mergeCells count="10">
    <mergeCell ref="B29:P29"/>
    <mergeCell ref="B30:P30"/>
    <mergeCell ref="N14:P14"/>
    <mergeCell ref="B28:P28"/>
    <mergeCell ref="B1:P1"/>
    <mergeCell ref="N2:P2"/>
    <mergeCell ref="J2:L2"/>
    <mergeCell ref="F2:H2"/>
    <mergeCell ref="B2:D2"/>
    <mergeCell ref="N21:P21"/>
  </mergeCells>
  <printOptions horizontalCentered="1" verticalCentered="1"/>
  <pageMargins left="0.4330708661417323" right="0.4330708661417323" top="0.5511811023622047" bottom="0.5511811023622047" header="0.31496062992125984" footer="0.31496062992125984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90" zoomScaleNormal="90" zoomScalePageLayoutView="0" workbookViewId="0" topLeftCell="A1">
      <selection activeCell="D28" sqref="D28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" width="14.28125" style="8" customWidth="1"/>
    <col min="17" max="17" width="10.7109375" style="8" customWidth="1"/>
    <col min="18" max="16384" width="9.140625" style="8" customWidth="1"/>
  </cols>
  <sheetData>
    <row r="1" spans="2:14" s="4" customFormat="1" ht="43.5" customHeight="1">
      <c r="B1" s="374" t="s">
        <v>307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2:17" s="4" customFormat="1" ht="29.25" customHeight="1">
      <c r="B2" s="375" t="s">
        <v>333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P2" s="339" t="s">
        <v>335</v>
      </c>
      <c r="Q2" s="339" t="s">
        <v>334</v>
      </c>
    </row>
    <row r="3" spans="1:17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52</v>
      </c>
      <c r="F3" s="63" t="s">
        <v>6</v>
      </c>
      <c r="G3" s="64" t="s">
        <v>5</v>
      </c>
      <c r="H3" s="65" t="s">
        <v>51</v>
      </c>
      <c r="I3" s="66"/>
      <c r="J3" s="138" t="s">
        <v>6</v>
      </c>
      <c r="K3" s="134"/>
      <c r="L3" s="135"/>
      <c r="M3" s="136" t="s">
        <v>5</v>
      </c>
      <c r="N3" s="137" t="s">
        <v>4</v>
      </c>
      <c r="P3" s="340">
        <v>16</v>
      </c>
      <c r="Q3" s="338" t="s">
        <v>99</v>
      </c>
    </row>
    <row r="4" spans="1:17" s="73" customFormat="1" ht="18" customHeight="1">
      <c r="A4" s="120" t="s">
        <v>59</v>
      </c>
      <c r="B4" s="160">
        <v>16.6</v>
      </c>
      <c r="C4" s="71">
        <v>31</v>
      </c>
      <c r="D4" s="69">
        <f aca="true" t="shared" si="0" ref="D4:D12">Q4</f>
        <v>27</v>
      </c>
      <c r="E4" s="70"/>
      <c r="F4" s="71">
        <v>1</v>
      </c>
      <c r="G4" s="68">
        <v>10</v>
      </c>
      <c r="H4" s="72">
        <f aca="true" t="shared" si="1" ref="H4:H11">N4+I4</f>
        <v>1300000</v>
      </c>
      <c r="I4" s="85">
        <f aca="true" t="shared" si="2" ref="I4:I11">IF(E4&gt;0,$N$13,0)+IF(C4&gt;0,50000,0)+IF(C12&lt;0,50000,0)</f>
        <v>50000</v>
      </c>
      <c r="J4" s="87" t="s">
        <v>8</v>
      </c>
      <c r="K4" s="88"/>
      <c r="L4" s="89"/>
      <c r="M4" s="78">
        <v>10</v>
      </c>
      <c r="N4" s="72">
        <f>N12*25%</f>
        <v>1250000</v>
      </c>
      <c r="P4" s="337">
        <v>24</v>
      </c>
      <c r="Q4" s="340">
        <f>ROUND(P4*18/P3,0)</f>
        <v>27</v>
      </c>
    </row>
    <row r="5" spans="1:17" s="73" customFormat="1" ht="18" customHeight="1">
      <c r="A5" s="120" t="s">
        <v>77</v>
      </c>
      <c r="B5" s="160">
        <v>21.8</v>
      </c>
      <c r="C5" s="77">
        <v>31</v>
      </c>
      <c r="D5" s="69">
        <f t="shared" si="0"/>
        <v>35</v>
      </c>
      <c r="E5" s="70">
        <v>10.87</v>
      </c>
      <c r="F5" s="71">
        <v>2</v>
      </c>
      <c r="G5" s="71">
        <v>8</v>
      </c>
      <c r="H5" s="72">
        <f t="shared" si="1"/>
        <v>1350000</v>
      </c>
      <c r="I5" s="85">
        <f t="shared" si="2"/>
        <v>350000</v>
      </c>
      <c r="J5" s="90" t="s">
        <v>9</v>
      </c>
      <c r="K5" s="91"/>
      <c r="L5" s="92"/>
      <c r="M5" s="75">
        <v>8</v>
      </c>
      <c r="N5" s="72">
        <f>N12*20%</f>
        <v>1000000</v>
      </c>
      <c r="P5" s="337">
        <v>31</v>
      </c>
      <c r="Q5" s="340">
        <f>ROUND(P5*18/P3,0)</f>
        <v>35</v>
      </c>
    </row>
    <row r="6" spans="1:17" s="73" customFormat="1" ht="18" customHeight="1">
      <c r="A6" s="120" t="s">
        <v>115</v>
      </c>
      <c r="B6" s="160">
        <v>14.8</v>
      </c>
      <c r="C6" s="71">
        <v>28</v>
      </c>
      <c r="D6" s="69">
        <f t="shared" si="0"/>
        <v>32</v>
      </c>
      <c r="E6" s="70"/>
      <c r="F6" s="76">
        <v>3</v>
      </c>
      <c r="G6" s="76">
        <v>6</v>
      </c>
      <c r="H6" s="72">
        <f t="shared" si="1"/>
        <v>800000</v>
      </c>
      <c r="I6" s="85">
        <f t="shared" si="2"/>
        <v>50000</v>
      </c>
      <c r="J6" s="90" t="s">
        <v>10</v>
      </c>
      <c r="K6" s="91"/>
      <c r="L6" s="92"/>
      <c r="M6" s="75">
        <v>6</v>
      </c>
      <c r="N6" s="72">
        <f>N12*15%</f>
        <v>750000</v>
      </c>
      <c r="P6" s="337">
        <v>28</v>
      </c>
      <c r="Q6" s="340">
        <f>ROUND(P6*18/P3,0)</f>
        <v>32</v>
      </c>
    </row>
    <row r="7" spans="1:18" s="73" customFormat="1" ht="18" customHeight="1">
      <c r="A7" s="120" t="s">
        <v>75</v>
      </c>
      <c r="B7" s="160">
        <v>16.5</v>
      </c>
      <c r="C7" s="71">
        <v>28</v>
      </c>
      <c r="D7" s="69">
        <f t="shared" si="0"/>
        <v>30</v>
      </c>
      <c r="E7" s="70"/>
      <c r="F7" s="71">
        <v>4</v>
      </c>
      <c r="G7" s="71">
        <v>5</v>
      </c>
      <c r="H7" s="72">
        <f t="shared" si="1"/>
        <v>650000</v>
      </c>
      <c r="I7" s="85">
        <f t="shared" si="2"/>
        <v>50000</v>
      </c>
      <c r="J7" s="90" t="s">
        <v>11</v>
      </c>
      <c r="K7" s="91"/>
      <c r="L7" s="92"/>
      <c r="M7" s="75">
        <v>5</v>
      </c>
      <c r="N7" s="72">
        <f>N12*12%</f>
        <v>600000</v>
      </c>
      <c r="O7" s="79"/>
      <c r="P7" s="337">
        <v>27</v>
      </c>
      <c r="Q7" s="340">
        <f>ROUND(P7*18/P3,0)</f>
        <v>30</v>
      </c>
      <c r="R7" s="80"/>
    </row>
    <row r="8" spans="1:17" s="73" customFormat="1" ht="18" customHeight="1">
      <c r="A8" s="120" t="s">
        <v>110</v>
      </c>
      <c r="B8" s="160">
        <v>15.4</v>
      </c>
      <c r="C8" s="71">
        <v>26</v>
      </c>
      <c r="D8" s="69">
        <f t="shared" si="0"/>
        <v>34</v>
      </c>
      <c r="E8" s="70"/>
      <c r="F8" s="71">
        <v>5</v>
      </c>
      <c r="G8" s="71">
        <v>4</v>
      </c>
      <c r="H8" s="72">
        <f t="shared" si="1"/>
        <v>550000</v>
      </c>
      <c r="I8" s="85">
        <f t="shared" si="2"/>
        <v>50000</v>
      </c>
      <c r="J8" s="90" t="s">
        <v>12</v>
      </c>
      <c r="K8" s="91"/>
      <c r="L8" s="92"/>
      <c r="M8" s="75">
        <v>4</v>
      </c>
      <c r="N8" s="72">
        <f>N12*10%</f>
        <v>500000</v>
      </c>
      <c r="P8" s="337">
        <v>30</v>
      </c>
      <c r="Q8" s="340">
        <f>ROUND(P8*18/P3,0)</f>
        <v>34</v>
      </c>
    </row>
    <row r="9" spans="1:17" s="73" customFormat="1" ht="18" customHeight="1">
      <c r="A9" s="120" t="s">
        <v>65</v>
      </c>
      <c r="B9" s="160">
        <v>10.9</v>
      </c>
      <c r="C9" s="71">
        <v>25</v>
      </c>
      <c r="D9" s="69">
        <f t="shared" si="0"/>
        <v>34</v>
      </c>
      <c r="E9" s="174"/>
      <c r="F9" s="81">
        <v>6</v>
      </c>
      <c r="G9" s="81">
        <v>3</v>
      </c>
      <c r="H9" s="72">
        <f t="shared" si="1"/>
        <v>450000</v>
      </c>
      <c r="I9" s="85">
        <f t="shared" si="2"/>
        <v>50000</v>
      </c>
      <c r="J9" s="90" t="s">
        <v>13</v>
      </c>
      <c r="K9" s="91"/>
      <c r="L9" s="92"/>
      <c r="M9" s="75">
        <v>3</v>
      </c>
      <c r="N9" s="72">
        <f>N12*8%</f>
        <v>400000</v>
      </c>
      <c r="P9" s="337">
        <v>30</v>
      </c>
      <c r="Q9" s="340">
        <f>ROUND(P9*18/P3,0)</f>
        <v>34</v>
      </c>
    </row>
    <row r="10" spans="1:17" s="73" customFormat="1" ht="18" customHeight="1">
      <c r="A10" s="120" t="s">
        <v>60</v>
      </c>
      <c r="B10" s="160">
        <v>14.4</v>
      </c>
      <c r="C10" s="76">
        <v>25</v>
      </c>
      <c r="D10" s="69">
        <f t="shared" si="0"/>
        <v>36</v>
      </c>
      <c r="E10" s="174"/>
      <c r="F10" s="71">
        <v>7</v>
      </c>
      <c r="G10" s="71">
        <v>2</v>
      </c>
      <c r="H10" s="72">
        <f t="shared" si="1"/>
        <v>350000</v>
      </c>
      <c r="I10" s="85">
        <f t="shared" si="2"/>
        <v>50000</v>
      </c>
      <c r="J10" s="90" t="s">
        <v>14</v>
      </c>
      <c r="K10" s="91"/>
      <c r="L10" s="92"/>
      <c r="M10" s="75">
        <v>2</v>
      </c>
      <c r="N10" s="72">
        <f>N12*6%</f>
        <v>300000</v>
      </c>
      <c r="P10" s="337">
        <v>32</v>
      </c>
      <c r="Q10" s="340">
        <f>ROUND(P10*18/P3,0)</f>
        <v>36</v>
      </c>
    </row>
    <row r="11" spans="1:17" s="73" customFormat="1" ht="18" customHeight="1">
      <c r="A11" s="120" t="s">
        <v>58</v>
      </c>
      <c r="B11" s="160">
        <v>7.3</v>
      </c>
      <c r="C11" s="74">
        <v>24</v>
      </c>
      <c r="D11" s="69">
        <f t="shared" si="0"/>
        <v>38</v>
      </c>
      <c r="E11" s="174"/>
      <c r="F11" s="71">
        <v>8</v>
      </c>
      <c r="G11" s="71">
        <v>1</v>
      </c>
      <c r="H11" s="72">
        <f t="shared" si="1"/>
        <v>250000</v>
      </c>
      <c r="I11" s="85">
        <f t="shared" si="2"/>
        <v>50000</v>
      </c>
      <c r="J11" s="90" t="s">
        <v>15</v>
      </c>
      <c r="K11" s="91"/>
      <c r="L11" s="92"/>
      <c r="M11" s="75">
        <v>1</v>
      </c>
      <c r="N11" s="72">
        <f>N12*4%</f>
        <v>200000</v>
      </c>
      <c r="P11" s="337">
        <v>34</v>
      </c>
      <c r="Q11" s="340">
        <f>ROUND(P11*18/P3,0)</f>
        <v>38</v>
      </c>
    </row>
    <row r="12" spans="1:17" s="73" customFormat="1" ht="18" customHeight="1">
      <c r="A12" s="120" t="s">
        <v>109</v>
      </c>
      <c r="B12" s="160">
        <v>14.3</v>
      </c>
      <c r="C12" s="71">
        <v>23</v>
      </c>
      <c r="D12" s="69">
        <f t="shared" si="0"/>
        <v>34</v>
      </c>
      <c r="E12" s="70"/>
      <c r="F12" s="68"/>
      <c r="G12" s="71"/>
      <c r="H12" s="72">
        <f aca="true" t="shared" si="3" ref="H12:H27">I12</f>
        <v>50000</v>
      </c>
      <c r="I12" s="85">
        <f aca="true" t="shared" si="4" ref="I12:I27">IF(E12&gt;0,$N$13,0)+IF(C12&gt;0,50000,0)+IF(C12&lt;0,50000,0)</f>
        <v>50000</v>
      </c>
      <c r="J12" s="93" t="s">
        <v>3</v>
      </c>
      <c r="K12" s="91"/>
      <c r="L12" s="92"/>
      <c r="M12" s="75"/>
      <c r="N12" s="82">
        <v>5000000</v>
      </c>
      <c r="P12" s="337">
        <v>30</v>
      </c>
      <c r="Q12" s="340">
        <f>ROUND(P12*18/P3,0)</f>
        <v>34</v>
      </c>
    </row>
    <row r="13" spans="1:17" s="73" customFormat="1" ht="18" customHeight="1">
      <c r="A13" s="120"/>
      <c r="B13" s="160"/>
      <c r="C13" s="71"/>
      <c r="D13" s="69"/>
      <c r="E13" s="70"/>
      <c r="F13" s="71"/>
      <c r="G13" s="71"/>
      <c r="H13" s="72">
        <f t="shared" si="3"/>
        <v>0</v>
      </c>
      <c r="I13" s="85">
        <f t="shared" si="4"/>
        <v>0</v>
      </c>
      <c r="J13" s="122" t="s">
        <v>62</v>
      </c>
      <c r="K13" s="123"/>
      <c r="L13" s="124"/>
      <c r="M13" s="125">
        <v>1</v>
      </c>
      <c r="N13" s="126">
        <f>N10</f>
        <v>300000</v>
      </c>
      <c r="P13" s="337"/>
      <c r="Q13" s="340"/>
    </row>
    <row r="14" spans="1:17" s="73" customFormat="1" ht="18" customHeight="1">
      <c r="A14" s="120"/>
      <c r="B14" s="160"/>
      <c r="C14" s="68"/>
      <c r="D14" s="69"/>
      <c r="E14" s="70"/>
      <c r="F14" s="71"/>
      <c r="G14" s="71"/>
      <c r="H14" s="72">
        <f t="shared" si="3"/>
        <v>0</v>
      </c>
      <c r="I14" s="85">
        <f t="shared" si="4"/>
        <v>0</v>
      </c>
      <c r="J14" s="131"/>
      <c r="K14" s="123"/>
      <c r="L14" s="123"/>
      <c r="M14" s="132"/>
      <c r="N14" s="133"/>
      <c r="P14" s="337"/>
      <c r="Q14" s="340"/>
    </row>
    <row r="15" spans="1:17" s="73" customFormat="1" ht="18" customHeight="1">
      <c r="A15" s="120"/>
      <c r="B15" s="160"/>
      <c r="C15" s="71"/>
      <c r="D15" s="69"/>
      <c r="E15" s="70"/>
      <c r="F15" s="71"/>
      <c r="G15" s="71"/>
      <c r="H15" s="72">
        <f t="shared" si="3"/>
        <v>0</v>
      </c>
      <c r="I15" s="85">
        <f t="shared" si="4"/>
        <v>0</v>
      </c>
      <c r="J15" s="127"/>
      <c r="K15" s="128"/>
      <c r="L15" s="128"/>
      <c r="M15" s="129"/>
      <c r="N15" s="130"/>
      <c r="P15" s="337"/>
      <c r="Q15" s="340"/>
    </row>
    <row r="16" spans="1:17" s="73" customFormat="1" ht="18" customHeight="1">
      <c r="A16" s="120"/>
      <c r="B16" s="160"/>
      <c r="C16" s="71"/>
      <c r="D16" s="69"/>
      <c r="E16" s="70"/>
      <c r="F16" s="76"/>
      <c r="G16" s="76"/>
      <c r="H16" s="72">
        <f t="shared" si="3"/>
        <v>0</v>
      </c>
      <c r="I16" s="85">
        <f t="shared" si="4"/>
        <v>0</v>
      </c>
      <c r="P16" s="337"/>
      <c r="Q16" s="340"/>
    </row>
    <row r="17" spans="1:18" s="73" customFormat="1" ht="18" customHeight="1">
      <c r="A17" s="120"/>
      <c r="B17" s="160"/>
      <c r="C17" s="71"/>
      <c r="D17" s="69"/>
      <c r="E17" s="174"/>
      <c r="F17" s="76"/>
      <c r="G17" s="76"/>
      <c r="H17" s="72">
        <f t="shared" si="3"/>
        <v>0</v>
      </c>
      <c r="I17" s="85">
        <f t="shared" si="4"/>
        <v>0</v>
      </c>
      <c r="O17" s="79"/>
      <c r="P17" s="184"/>
      <c r="Q17" s="340"/>
      <c r="R17" s="80"/>
    </row>
    <row r="18" spans="1:18" s="73" customFormat="1" ht="18" customHeight="1">
      <c r="A18" s="120"/>
      <c r="B18" s="160"/>
      <c r="C18" s="74"/>
      <c r="D18" s="69"/>
      <c r="E18" s="70"/>
      <c r="F18" s="71"/>
      <c r="G18" s="71"/>
      <c r="H18" s="72">
        <f t="shared" si="3"/>
        <v>0</v>
      </c>
      <c r="I18" s="85">
        <f t="shared" si="4"/>
        <v>0</v>
      </c>
      <c r="J18" s="8"/>
      <c r="K18" s="8"/>
      <c r="L18" s="8"/>
      <c r="M18" s="8"/>
      <c r="N18" s="8"/>
      <c r="O18" s="80"/>
      <c r="P18" s="184"/>
      <c r="Q18" s="340"/>
      <c r="R18" s="80"/>
    </row>
    <row r="19" spans="1:18" s="73" customFormat="1" ht="18" customHeight="1">
      <c r="A19" s="120"/>
      <c r="B19" s="160"/>
      <c r="C19" s="71"/>
      <c r="D19" s="69"/>
      <c r="E19" s="174"/>
      <c r="F19" s="71"/>
      <c r="G19" s="71"/>
      <c r="H19" s="72">
        <f t="shared" si="3"/>
        <v>0</v>
      </c>
      <c r="I19" s="85">
        <f t="shared" si="4"/>
        <v>0</v>
      </c>
      <c r="J19" s="8"/>
      <c r="K19" s="8"/>
      <c r="L19" s="8"/>
      <c r="M19" s="8"/>
      <c r="N19" s="8"/>
      <c r="O19" s="80"/>
      <c r="P19" s="80"/>
      <c r="Q19" s="340"/>
      <c r="R19" s="80"/>
    </row>
    <row r="20" spans="1:17" s="4" customFormat="1" ht="18" customHeight="1">
      <c r="A20" s="120"/>
      <c r="B20" s="160"/>
      <c r="C20" s="71"/>
      <c r="D20" s="69"/>
      <c r="E20" s="70"/>
      <c r="F20" s="76"/>
      <c r="G20" s="76"/>
      <c r="H20" s="72">
        <f t="shared" si="3"/>
        <v>0</v>
      </c>
      <c r="I20" s="85">
        <f t="shared" si="4"/>
        <v>0</v>
      </c>
      <c r="J20" s="8"/>
      <c r="K20" s="8"/>
      <c r="L20" s="8"/>
      <c r="M20" s="8"/>
      <c r="N20" s="8"/>
      <c r="Q20" s="340"/>
    </row>
    <row r="21" spans="1:17" s="4" customFormat="1" ht="18" customHeight="1">
      <c r="A21" s="120"/>
      <c r="B21" s="160"/>
      <c r="C21" s="74"/>
      <c r="D21" s="69"/>
      <c r="E21" s="174"/>
      <c r="F21" s="76"/>
      <c r="G21" s="76"/>
      <c r="H21" s="72">
        <f t="shared" si="3"/>
        <v>0</v>
      </c>
      <c r="I21" s="85">
        <f t="shared" si="4"/>
        <v>0</v>
      </c>
      <c r="J21" s="8"/>
      <c r="K21" s="8"/>
      <c r="L21" s="8"/>
      <c r="M21" s="8"/>
      <c r="N21" s="8"/>
      <c r="Q21" s="340"/>
    </row>
    <row r="22" spans="1:17" s="4" customFormat="1" ht="18" customHeight="1">
      <c r="A22" s="120"/>
      <c r="B22" s="160"/>
      <c r="C22" s="71"/>
      <c r="D22" s="69"/>
      <c r="E22" s="70"/>
      <c r="F22" s="76"/>
      <c r="G22" s="76"/>
      <c r="H22" s="72">
        <f t="shared" si="3"/>
        <v>0</v>
      </c>
      <c r="I22" s="85">
        <f t="shared" si="4"/>
        <v>0</v>
      </c>
      <c r="J22" s="8"/>
      <c r="K22" s="8"/>
      <c r="L22" s="8"/>
      <c r="M22" s="8"/>
      <c r="N22" s="8"/>
      <c r="Q22" s="340"/>
    </row>
    <row r="23" spans="1:17" s="4" customFormat="1" ht="18" customHeight="1">
      <c r="A23" s="120"/>
      <c r="B23" s="160"/>
      <c r="C23" s="71"/>
      <c r="D23" s="69"/>
      <c r="E23" s="70"/>
      <c r="F23" s="76"/>
      <c r="G23" s="76"/>
      <c r="H23" s="72">
        <f t="shared" si="3"/>
        <v>0</v>
      </c>
      <c r="I23" s="85">
        <f t="shared" si="4"/>
        <v>0</v>
      </c>
      <c r="J23" s="8"/>
      <c r="K23" s="8"/>
      <c r="L23" s="8"/>
      <c r="M23" s="8"/>
      <c r="N23" s="8"/>
      <c r="Q23" s="340"/>
    </row>
    <row r="24" spans="1:17" s="4" customFormat="1" ht="18" customHeight="1">
      <c r="A24" s="120"/>
      <c r="B24" s="160"/>
      <c r="C24" s="74"/>
      <c r="D24" s="69"/>
      <c r="E24" s="70"/>
      <c r="F24" s="76"/>
      <c r="G24" s="76"/>
      <c r="H24" s="72">
        <f t="shared" si="3"/>
        <v>0</v>
      </c>
      <c r="I24" s="85">
        <f t="shared" si="4"/>
        <v>0</v>
      </c>
      <c r="J24" s="8"/>
      <c r="K24" s="8"/>
      <c r="L24" s="8"/>
      <c r="M24" s="8"/>
      <c r="N24" s="8"/>
      <c r="Q24" s="340"/>
    </row>
    <row r="25" spans="1:17" s="4" customFormat="1" ht="18" customHeight="1">
      <c r="A25" s="120"/>
      <c r="B25" s="176"/>
      <c r="C25" s="74"/>
      <c r="D25" s="69"/>
      <c r="E25" s="174"/>
      <c r="F25" s="76"/>
      <c r="G25" s="76"/>
      <c r="H25" s="72">
        <f t="shared" si="3"/>
        <v>0</v>
      </c>
      <c r="I25" s="85">
        <f t="shared" si="4"/>
        <v>0</v>
      </c>
      <c r="J25" s="8"/>
      <c r="K25" s="8"/>
      <c r="L25" s="8"/>
      <c r="M25" s="8"/>
      <c r="N25" s="8"/>
      <c r="Q25" s="340"/>
    </row>
    <row r="26" spans="1:17" s="4" customFormat="1" ht="18" customHeight="1">
      <c r="A26" s="120"/>
      <c r="B26" s="176"/>
      <c r="C26" s="74"/>
      <c r="D26" s="341" t="s">
        <v>98</v>
      </c>
      <c r="E26" s="174"/>
      <c r="F26" s="71"/>
      <c r="G26" s="71"/>
      <c r="H26" s="72">
        <f t="shared" si="3"/>
        <v>0</v>
      </c>
      <c r="I26" s="85">
        <f t="shared" si="4"/>
        <v>0</v>
      </c>
      <c r="J26" s="8"/>
      <c r="K26" s="8"/>
      <c r="L26" s="8"/>
      <c r="M26" s="8"/>
      <c r="N26" s="8"/>
      <c r="Q26" s="340"/>
    </row>
    <row r="27" spans="1:17" s="4" customFormat="1" ht="18" customHeight="1">
      <c r="A27" s="121"/>
      <c r="B27" s="67"/>
      <c r="C27" s="71"/>
      <c r="D27" s="69"/>
      <c r="E27" s="70"/>
      <c r="F27" s="71"/>
      <c r="G27" s="71"/>
      <c r="H27" s="72">
        <f t="shared" si="3"/>
        <v>0</v>
      </c>
      <c r="I27" s="85">
        <f t="shared" si="4"/>
        <v>0</v>
      </c>
      <c r="J27" s="8"/>
      <c r="K27" s="8"/>
      <c r="L27" s="8"/>
      <c r="M27" s="8"/>
      <c r="N27" s="8"/>
      <c r="Q27" s="340"/>
    </row>
    <row r="28" spans="1:9" ht="24" customHeight="1" thickBot="1">
      <c r="A28" s="1"/>
      <c r="B28" s="2"/>
      <c r="C28" s="3"/>
      <c r="D28" s="177">
        <f>SUM(D4:D27)</f>
        <v>300</v>
      </c>
      <c r="E28" s="3"/>
      <c r="F28" s="2"/>
      <c r="G28" s="178">
        <f>SUM(G4:G27)</f>
        <v>39</v>
      </c>
      <c r="H28" s="178">
        <f>SUM(H4:H27)</f>
        <v>5750000</v>
      </c>
      <c r="I28" s="86"/>
    </row>
    <row r="29" ht="18" thickTop="1"/>
  </sheetData>
  <sheetProtection/>
  <mergeCells count="2">
    <mergeCell ref="B1:N1"/>
    <mergeCell ref="B2:N2"/>
  </mergeCells>
  <printOptions horizontalCentered="1" verticalCentered="1"/>
  <pageMargins left="0.4330708661417323" right="0.4330708661417323" top="0.5511811023622047" bottom="0.5511811023622047" header="0.31496062992125984" footer="0.31496062992125984"/>
  <pageSetup fitToHeight="1" fitToWidth="1" orientation="landscape" paperSize="9" scale="88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4" customFormat="1" ht="43.5" customHeight="1">
      <c r="B1" s="374" t="s">
        <v>308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2:14" s="4" customFormat="1" ht="29.25" customHeight="1">
      <c r="B2" s="375" t="s">
        <v>327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52</v>
      </c>
      <c r="F3" s="63" t="s">
        <v>6</v>
      </c>
      <c r="G3" s="64" t="s">
        <v>5</v>
      </c>
      <c r="H3" s="65" t="s">
        <v>51</v>
      </c>
      <c r="I3" s="66"/>
      <c r="J3" s="138" t="s">
        <v>6</v>
      </c>
      <c r="K3" s="134"/>
      <c r="L3" s="135"/>
      <c r="M3" s="136" t="s">
        <v>5</v>
      </c>
      <c r="N3" s="137" t="s">
        <v>4</v>
      </c>
    </row>
    <row r="4" spans="1:14" s="73" customFormat="1" ht="18" customHeight="1">
      <c r="A4" s="120" t="s">
        <v>75</v>
      </c>
      <c r="B4" s="160">
        <v>16.8</v>
      </c>
      <c r="C4" s="71">
        <v>37</v>
      </c>
      <c r="D4" s="69">
        <v>33</v>
      </c>
      <c r="E4" s="70"/>
      <c r="F4" s="71">
        <v>1</v>
      </c>
      <c r="G4" s="68">
        <v>10</v>
      </c>
      <c r="H4" s="72">
        <f aca="true" t="shared" si="0" ref="H4:H11">N4+I4</f>
        <v>1300000</v>
      </c>
      <c r="I4" s="85">
        <f aca="true" t="shared" si="1" ref="I4:I11">IF(E4&gt;0,$N$13,0)+IF(C4&gt;0,50000,0)+IF(C12&lt;0,50000,0)</f>
        <v>50000</v>
      </c>
      <c r="J4" s="87" t="s">
        <v>8</v>
      </c>
      <c r="K4" s="88"/>
      <c r="L4" s="89"/>
      <c r="M4" s="78">
        <v>10</v>
      </c>
      <c r="N4" s="72">
        <f>N12*25%</f>
        <v>1250000</v>
      </c>
    </row>
    <row r="5" spans="1:14" s="73" customFormat="1" ht="18" customHeight="1">
      <c r="A5" s="120" t="s">
        <v>109</v>
      </c>
      <c r="B5" s="160">
        <v>14.3</v>
      </c>
      <c r="C5" s="71">
        <v>36</v>
      </c>
      <c r="D5" s="69">
        <v>29</v>
      </c>
      <c r="E5" s="174"/>
      <c r="F5" s="71">
        <v>2</v>
      </c>
      <c r="G5" s="71">
        <v>8</v>
      </c>
      <c r="H5" s="72">
        <f t="shared" si="0"/>
        <v>1050000</v>
      </c>
      <c r="I5" s="85">
        <f t="shared" si="1"/>
        <v>50000</v>
      </c>
      <c r="J5" s="90" t="s">
        <v>9</v>
      </c>
      <c r="K5" s="91"/>
      <c r="L5" s="92"/>
      <c r="M5" s="75">
        <v>8</v>
      </c>
      <c r="N5" s="72">
        <f>N12*20%</f>
        <v>1000000</v>
      </c>
    </row>
    <row r="6" spans="1:14" s="73" customFormat="1" ht="18" customHeight="1">
      <c r="A6" s="120" t="s">
        <v>70</v>
      </c>
      <c r="B6" s="160">
        <v>17.2</v>
      </c>
      <c r="C6" s="71">
        <v>36</v>
      </c>
      <c r="D6" s="77">
        <v>31</v>
      </c>
      <c r="E6" s="70"/>
      <c r="F6" s="76">
        <v>3</v>
      </c>
      <c r="G6" s="76">
        <v>6</v>
      </c>
      <c r="H6" s="72">
        <f t="shared" si="0"/>
        <v>800000</v>
      </c>
      <c r="I6" s="85">
        <f t="shared" si="1"/>
        <v>50000</v>
      </c>
      <c r="J6" s="90" t="s">
        <v>10</v>
      </c>
      <c r="K6" s="91"/>
      <c r="L6" s="92"/>
      <c r="M6" s="75">
        <v>6</v>
      </c>
      <c r="N6" s="72">
        <f>N12*15%</f>
        <v>750000</v>
      </c>
    </row>
    <row r="7" spans="1:18" s="73" customFormat="1" ht="18" customHeight="1">
      <c r="A7" s="120" t="s">
        <v>77</v>
      </c>
      <c r="B7" s="160">
        <v>21.8</v>
      </c>
      <c r="C7" s="71">
        <v>36</v>
      </c>
      <c r="D7" s="69">
        <v>36</v>
      </c>
      <c r="E7" s="70"/>
      <c r="F7" s="71">
        <v>4</v>
      </c>
      <c r="G7" s="71">
        <v>5</v>
      </c>
      <c r="H7" s="72">
        <f t="shared" si="0"/>
        <v>650000</v>
      </c>
      <c r="I7" s="85">
        <f t="shared" si="1"/>
        <v>50000</v>
      </c>
      <c r="J7" s="90" t="s">
        <v>11</v>
      </c>
      <c r="K7" s="91"/>
      <c r="L7" s="92"/>
      <c r="M7" s="75">
        <v>5</v>
      </c>
      <c r="N7" s="72">
        <f>N12*12%</f>
        <v>600000</v>
      </c>
      <c r="O7" s="79"/>
      <c r="P7" s="79"/>
      <c r="Q7" s="79"/>
      <c r="R7" s="80"/>
    </row>
    <row r="8" spans="1:14" s="73" customFormat="1" ht="18" customHeight="1">
      <c r="A8" s="120" t="s">
        <v>58</v>
      </c>
      <c r="B8" s="160">
        <v>7.1</v>
      </c>
      <c r="C8" s="71">
        <v>34</v>
      </c>
      <c r="D8" s="77">
        <v>29</v>
      </c>
      <c r="E8" s="70"/>
      <c r="F8" s="71">
        <v>5</v>
      </c>
      <c r="G8" s="71">
        <v>4</v>
      </c>
      <c r="H8" s="72">
        <f t="shared" si="0"/>
        <v>550000</v>
      </c>
      <c r="I8" s="85">
        <f t="shared" si="1"/>
        <v>50000</v>
      </c>
      <c r="J8" s="90" t="s">
        <v>12</v>
      </c>
      <c r="K8" s="91"/>
      <c r="L8" s="92"/>
      <c r="M8" s="75">
        <v>4</v>
      </c>
      <c r="N8" s="72">
        <f>N12*10%</f>
        <v>500000</v>
      </c>
    </row>
    <row r="9" spans="1:14" s="73" customFormat="1" ht="18" customHeight="1">
      <c r="A9" s="120" t="s">
        <v>110</v>
      </c>
      <c r="B9" s="160">
        <v>15.4</v>
      </c>
      <c r="C9" s="71">
        <v>34</v>
      </c>
      <c r="D9" s="69">
        <v>36</v>
      </c>
      <c r="E9" s="70"/>
      <c r="F9" s="81">
        <v>6</v>
      </c>
      <c r="G9" s="81">
        <v>3</v>
      </c>
      <c r="H9" s="72">
        <f t="shared" si="0"/>
        <v>450000</v>
      </c>
      <c r="I9" s="85">
        <f t="shared" si="1"/>
        <v>50000</v>
      </c>
      <c r="J9" s="90" t="s">
        <v>13</v>
      </c>
      <c r="K9" s="91"/>
      <c r="L9" s="92"/>
      <c r="M9" s="75">
        <v>3</v>
      </c>
      <c r="N9" s="72">
        <f>N12*8%</f>
        <v>400000</v>
      </c>
    </row>
    <row r="10" spans="1:14" s="73" customFormat="1" ht="18" customHeight="1">
      <c r="A10" s="120" t="s">
        <v>60</v>
      </c>
      <c r="B10" s="160">
        <v>14.4</v>
      </c>
      <c r="C10" s="68">
        <v>33</v>
      </c>
      <c r="D10" s="77">
        <v>37</v>
      </c>
      <c r="E10" s="70"/>
      <c r="F10" s="71">
        <v>7</v>
      </c>
      <c r="G10" s="71">
        <v>2</v>
      </c>
      <c r="H10" s="72">
        <f t="shared" si="0"/>
        <v>350000</v>
      </c>
      <c r="I10" s="85">
        <f t="shared" si="1"/>
        <v>50000</v>
      </c>
      <c r="J10" s="90" t="s">
        <v>14</v>
      </c>
      <c r="K10" s="91"/>
      <c r="L10" s="92"/>
      <c r="M10" s="75">
        <v>2</v>
      </c>
      <c r="N10" s="72">
        <f>N12*6%</f>
        <v>300000</v>
      </c>
    </row>
    <row r="11" spans="1:14" s="73" customFormat="1" ht="18" customHeight="1">
      <c r="A11" s="120" t="s">
        <v>71</v>
      </c>
      <c r="B11" s="160">
        <v>6.3</v>
      </c>
      <c r="C11" s="71">
        <v>30</v>
      </c>
      <c r="D11" s="69">
        <v>35</v>
      </c>
      <c r="E11" s="70"/>
      <c r="F11" s="71">
        <v>8</v>
      </c>
      <c r="G11" s="71">
        <v>1</v>
      </c>
      <c r="H11" s="72">
        <f t="shared" si="0"/>
        <v>250000</v>
      </c>
      <c r="I11" s="85">
        <f t="shared" si="1"/>
        <v>50000</v>
      </c>
      <c r="J11" s="90" t="s">
        <v>15</v>
      </c>
      <c r="K11" s="91"/>
      <c r="L11" s="92"/>
      <c r="M11" s="75">
        <v>1</v>
      </c>
      <c r="N11" s="72">
        <f>N12*4%</f>
        <v>200000</v>
      </c>
    </row>
    <row r="12" spans="1:14" s="73" customFormat="1" ht="18" customHeight="1">
      <c r="A12" s="120" t="s">
        <v>326</v>
      </c>
      <c r="B12" s="160">
        <v>15.2</v>
      </c>
      <c r="C12" s="74">
        <v>30</v>
      </c>
      <c r="D12" s="69">
        <v>33</v>
      </c>
      <c r="E12" s="174"/>
      <c r="F12" s="68"/>
      <c r="G12" s="71"/>
      <c r="H12" s="72">
        <f aca="true" t="shared" si="2" ref="H12:H27">I12</f>
        <v>50000</v>
      </c>
      <c r="I12" s="85">
        <f aca="true" t="shared" si="3" ref="I12:I27">IF(E12&gt;0,$N$13,0)+IF(C12&gt;0,50000,0)+IF(C12&lt;0,50000,0)</f>
        <v>50000</v>
      </c>
      <c r="J12" s="93" t="s">
        <v>3</v>
      </c>
      <c r="K12" s="91"/>
      <c r="L12" s="92"/>
      <c r="M12" s="75"/>
      <c r="N12" s="82">
        <v>5000000</v>
      </c>
    </row>
    <row r="13" spans="1:14" s="73" customFormat="1" ht="18" customHeight="1">
      <c r="A13" s="120" t="s">
        <v>73</v>
      </c>
      <c r="B13" s="160">
        <v>13.6</v>
      </c>
      <c r="C13" s="77">
        <v>29</v>
      </c>
      <c r="D13" s="69">
        <v>34</v>
      </c>
      <c r="E13" s="70"/>
      <c r="F13" s="71"/>
      <c r="G13" s="71"/>
      <c r="H13" s="72">
        <f t="shared" si="2"/>
        <v>50000</v>
      </c>
      <c r="I13" s="85">
        <f t="shared" si="3"/>
        <v>50000</v>
      </c>
      <c r="J13" s="122" t="s">
        <v>62</v>
      </c>
      <c r="K13" s="123"/>
      <c r="L13" s="124"/>
      <c r="M13" s="125">
        <v>1</v>
      </c>
      <c r="N13" s="126">
        <f>N10</f>
        <v>300000</v>
      </c>
    </row>
    <row r="14" spans="1:14" s="73" customFormat="1" ht="18" customHeight="1">
      <c r="A14" s="120" t="s">
        <v>65</v>
      </c>
      <c r="B14" s="160">
        <v>10.9</v>
      </c>
      <c r="C14" s="74">
        <v>26</v>
      </c>
      <c r="D14" s="69">
        <v>39</v>
      </c>
      <c r="E14" s="174"/>
      <c r="F14" s="71"/>
      <c r="G14" s="71"/>
      <c r="H14" s="72">
        <f t="shared" si="2"/>
        <v>50000</v>
      </c>
      <c r="I14" s="85">
        <f t="shared" si="3"/>
        <v>50000</v>
      </c>
      <c r="J14" s="131"/>
      <c r="K14" s="123"/>
      <c r="L14" s="123"/>
      <c r="M14" s="132"/>
      <c r="N14" s="133"/>
    </row>
    <row r="15" spans="1:14" s="73" customFormat="1" ht="18" customHeight="1">
      <c r="A15" s="120" t="s">
        <v>76</v>
      </c>
      <c r="B15" s="160">
        <v>12.2</v>
      </c>
      <c r="C15" s="71">
        <v>24</v>
      </c>
      <c r="D15" s="69">
        <v>37</v>
      </c>
      <c r="E15" s="70"/>
      <c r="F15" s="71"/>
      <c r="G15" s="71"/>
      <c r="H15" s="72">
        <f t="shared" si="2"/>
        <v>50000</v>
      </c>
      <c r="I15" s="85">
        <f t="shared" si="3"/>
        <v>50000</v>
      </c>
      <c r="J15" s="127"/>
      <c r="K15" s="128"/>
      <c r="L15" s="128"/>
      <c r="M15" s="129"/>
      <c r="N15" s="130"/>
    </row>
    <row r="16" spans="1:9" s="73" customFormat="1" ht="18" customHeight="1">
      <c r="A16" s="120" t="s">
        <v>115</v>
      </c>
      <c r="B16" s="160">
        <v>14.7</v>
      </c>
      <c r="C16" s="71">
        <v>24</v>
      </c>
      <c r="D16" s="69">
        <v>38</v>
      </c>
      <c r="E16" s="174"/>
      <c r="F16" s="76"/>
      <c r="G16" s="76"/>
      <c r="H16" s="72">
        <f t="shared" si="2"/>
        <v>50000</v>
      </c>
      <c r="I16" s="85">
        <f t="shared" si="3"/>
        <v>50000</v>
      </c>
    </row>
    <row r="17" spans="1:18" s="73" customFormat="1" ht="18" customHeight="1">
      <c r="A17" s="120" t="s">
        <v>59</v>
      </c>
      <c r="B17" s="160">
        <v>16.5</v>
      </c>
      <c r="C17" s="71">
        <v>24</v>
      </c>
      <c r="D17" s="77">
        <v>41</v>
      </c>
      <c r="E17" s="174">
        <v>3.51</v>
      </c>
      <c r="F17" s="76"/>
      <c r="G17" s="76"/>
      <c r="H17" s="72">
        <f t="shared" si="2"/>
        <v>350000</v>
      </c>
      <c r="I17" s="85">
        <f t="shared" si="3"/>
        <v>350000</v>
      </c>
      <c r="O17" s="79"/>
      <c r="P17" s="79"/>
      <c r="Q17" s="79"/>
      <c r="R17" s="80"/>
    </row>
    <row r="18" spans="1:12" s="73" customFormat="1" ht="18" customHeight="1">
      <c r="A18" s="120" t="s">
        <v>66</v>
      </c>
      <c r="B18" s="160">
        <v>25.1</v>
      </c>
      <c r="C18" s="71">
        <v>23</v>
      </c>
      <c r="D18" s="74">
        <v>40</v>
      </c>
      <c r="E18" s="174"/>
      <c r="F18" s="71"/>
      <c r="G18" s="71"/>
      <c r="H18" s="72">
        <f t="shared" si="2"/>
        <v>50000</v>
      </c>
      <c r="I18" s="85">
        <f t="shared" si="3"/>
        <v>50000</v>
      </c>
      <c r="J18" s="80"/>
      <c r="K18" s="80"/>
      <c r="L18" s="80"/>
    </row>
    <row r="19" spans="1:12" s="73" customFormat="1" ht="18" customHeight="1">
      <c r="A19" s="120"/>
      <c r="B19" s="160"/>
      <c r="C19" s="71"/>
      <c r="D19" s="77"/>
      <c r="E19" s="70"/>
      <c r="F19" s="71"/>
      <c r="G19" s="71"/>
      <c r="H19" s="72">
        <f t="shared" si="2"/>
        <v>0</v>
      </c>
      <c r="I19" s="85">
        <f t="shared" si="3"/>
        <v>0</v>
      </c>
      <c r="J19" s="80"/>
      <c r="K19" s="80"/>
      <c r="L19" s="80"/>
    </row>
    <row r="20" spans="1:9" s="4" customFormat="1" ht="18" customHeight="1">
      <c r="A20" s="120"/>
      <c r="B20" s="160"/>
      <c r="C20" s="74"/>
      <c r="D20" s="77"/>
      <c r="E20" s="70"/>
      <c r="F20" s="76"/>
      <c r="G20" s="76"/>
      <c r="H20" s="72">
        <f t="shared" si="2"/>
        <v>0</v>
      </c>
      <c r="I20" s="85">
        <f t="shared" si="3"/>
        <v>0</v>
      </c>
    </row>
    <row r="21" spans="1:9" s="4" customFormat="1" ht="18" customHeight="1">
      <c r="A21" s="120"/>
      <c r="B21" s="160"/>
      <c r="C21" s="76"/>
      <c r="D21" s="69"/>
      <c r="E21" s="70"/>
      <c r="F21" s="76"/>
      <c r="G21" s="76"/>
      <c r="H21" s="72">
        <f t="shared" si="2"/>
        <v>0</v>
      </c>
      <c r="I21" s="85">
        <f t="shared" si="3"/>
        <v>0</v>
      </c>
    </row>
    <row r="22" spans="1:9" s="4" customFormat="1" ht="18" customHeight="1">
      <c r="A22" s="120"/>
      <c r="B22" s="160"/>
      <c r="C22" s="71"/>
      <c r="D22" s="69"/>
      <c r="E22" s="70"/>
      <c r="F22" s="76"/>
      <c r="G22" s="76"/>
      <c r="H22" s="72">
        <f t="shared" si="2"/>
        <v>0</v>
      </c>
      <c r="I22" s="85">
        <f t="shared" si="3"/>
        <v>0</v>
      </c>
    </row>
    <row r="23" spans="1:9" s="4" customFormat="1" ht="18" customHeight="1">
      <c r="A23" s="120"/>
      <c r="B23" s="160"/>
      <c r="C23" s="71"/>
      <c r="D23" s="77"/>
      <c r="E23" s="70"/>
      <c r="F23" s="76"/>
      <c r="G23" s="76"/>
      <c r="H23" s="72">
        <f t="shared" si="2"/>
        <v>0</v>
      </c>
      <c r="I23" s="85">
        <f t="shared" si="3"/>
        <v>0</v>
      </c>
    </row>
    <row r="24" spans="1:9" s="4" customFormat="1" ht="18" customHeight="1">
      <c r="A24" s="120"/>
      <c r="B24" s="160"/>
      <c r="C24" s="74"/>
      <c r="D24" s="69"/>
      <c r="E24" s="70"/>
      <c r="F24" s="76"/>
      <c r="G24" s="76"/>
      <c r="H24" s="72">
        <f t="shared" si="2"/>
        <v>0</v>
      </c>
      <c r="I24" s="85">
        <f t="shared" si="3"/>
        <v>0</v>
      </c>
    </row>
    <row r="25" spans="1:9" s="4" customFormat="1" ht="18" customHeight="1">
      <c r="A25" s="120"/>
      <c r="B25" s="176"/>
      <c r="C25" s="74"/>
      <c r="D25" s="69"/>
      <c r="E25" s="174"/>
      <c r="F25" s="76"/>
      <c r="G25" s="76"/>
      <c r="H25" s="72">
        <f t="shared" si="2"/>
        <v>0</v>
      </c>
      <c r="I25" s="85">
        <f t="shared" si="3"/>
        <v>0</v>
      </c>
    </row>
    <row r="26" spans="1:9" s="4" customFormat="1" ht="18" customHeight="1">
      <c r="A26" s="120"/>
      <c r="B26" s="176"/>
      <c r="C26" s="74"/>
      <c r="D26" s="77"/>
      <c r="E26" s="174"/>
      <c r="F26" s="71"/>
      <c r="G26" s="71"/>
      <c r="H26" s="72">
        <f t="shared" si="2"/>
        <v>0</v>
      </c>
      <c r="I26" s="85">
        <f t="shared" si="3"/>
        <v>0</v>
      </c>
    </row>
    <row r="27" spans="1:9" s="4" customFormat="1" ht="18" customHeight="1">
      <c r="A27" s="121"/>
      <c r="B27" s="67"/>
      <c r="C27" s="71"/>
      <c r="D27" s="69"/>
      <c r="E27" s="70"/>
      <c r="F27" s="71"/>
      <c r="G27" s="71"/>
      <c r="H27" s="72">
        <f t="shared" si="2"/>
        <v>0</v>
      </c>
      <c r="I27" s="85">
        <f t="shared" si="3"/>
        <v>0</v>
      </c>
    </row>
    <row r="28" spans="1:9" ht="24" customHeight="1" thickBot="1">
      <c r="A28" s="1"/>
      <c r="B28" s="2"/>
      <c r="C28" s="3"/>
      <c r="D28" s="177">
        <f>SUM(D4:D27)</f>
        <v>528</v>
      </c>
      <c r="E28" s="3"/>
      <c r="F28" s="2"/>
      <c r="G28" s="178">
        <f>SUM(G4:G27)</f>
        <v>39</v>
      </c>
      <c r="H28" s="178">
        <f>SUM(H4:H27)</f>
        <v>6050000</v>
      </c>
      <c r="I28" s="86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4330708661417323" right="0.4330708661417323" top="0.5511811023622047" bottom="0.5511811023622047" header="0.31496062992125984" footer="0.31496062992125984"/>
  <pageSetup fitToHeight="1" fitToWidth="1" orientation="landscape" paperSize="9" scale="88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4" customFormat="1" ht="43.5" customHeight="1">
      <c r="B1" s="374" t="s">
        <v>329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2:14" s="4" customFormat="1" ht="29.25" customHeight="1">
      <c r="B2" s="375" t="s">
        <v>314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52</v>
      </c>
      <c r="F3" s="63" t="s">
        <v>6</v>
      </c>
      <c r="G3" s="64" t="s">
        <v>5</v>
      </c>
      <c r="H3" s="65" t="s">
        <v>51</v>
      </c>
      <c r="I3" s="66"/>
      <c r="J3" s="138" t="s">
        <v>6</v>
      </c>
      <c r="K3" s="134"/>
      <c r="L3" s="135"/>
      <c r="M3" s="136" t="s">
        <v>5</v>
      </c>
      <c r="N3" s="137" t="s">
        <v>4</v>
      </c>
    </row>
    <row r="4" spans="1:14" s="73" customFormat="1" ht="18" customHeight="1">
      <c r="A4" s="120" t="s">
        <v>119</v>
      </c>
      <c r="B4" s="160">
        <v>11.2</v>
      </c>
      <c r="C4" s="74">
        <v>35</v>
      </c>
      <c r="D4" s="77">
        <v>33</v>
      </c>
      <c r="E4" s="174">
        <v>3.99</v>
      </c>
      <c r="F4" s="71">
        <v>1</v>
      </c>
      <c r="G4" s="68">
        <v>10</v>
      </c>
      <c r="H4" s="72">
        <f aca="true" t="shared" si="0" ref="H4:H11">N4+I4</f>
        <v>1910000</v>
      </c>
      <c r="I4" s="85">
        <f aca="true" t="shared" si="1" ref="I4:I11">IF(E4&gt;0,$N$13,0)+IF(C4&gt;0,50000,0)+IF(C12&lt;0,50000,0)</f>
        <v>410000</v>
      </c>
      <c r="J4" s="87" t="s">
        <v>8</v>
      </c>
      <c r="K4" s="88"/>
      <c r="L4" s="89"/>
      <c r="M4" s="78">
        <v>10</v>
      </c>
      <c r="N4" s="72">
        <f>N12*25%</f>
        <v>1500000</v>
      </c>
    </row>
    <row r="5" spans="1:14" s="73" customFormat="1" ht="18" customHeight="1">
      <c r="A5" s="120" t="s">
        <v>60</v>
      </c>
      <c r="B5" s="160">
        <v>14.4</v>
      </c>
      <c r="C5" s="71">
        <v>34</v>
      </c>
      <c r="D5" s="77">
        <v>32</v>
      </c>
      <c r="E5" s="70"/>
      <c r="F5" s="71">
        <v>2</v>
      </c>
      <c r="G5" s="71">
        <v>8</v>
      </c>
      <c r="H5" s="72">
        <f t="shared" si="0"/>
        <v>1250000</v>
      </c>
      <c r="I5" s="85">
        <f t="shared" si="1"/>
        <v>50000</v>
      </c>
      <c r="J5" s="90" t="s">
        <v>9</v>
      </c>
      <c r="K5" s="91"/>
      <c r="L5" s="92"/>
      <c r="M5" s="75">
        <v>8</v>
      </c>
      <c r="N5" s="72">
        <f>N12*20%</f>
        <v>1200000</v>
      </c>
    </row>
    <row r="6" spans="1:14" s="73" customFormat="1" ht="18" customHeight="1">
      <c r="A6" s="120" t="s">
        <v>65</v>
      </c>
      <c r="B6" s="160">
        <v>10.8</v>
      </c>
      <c r="C6" s="71">
        <v>33</v>
      </c>
      <c r="D6" s="69">
        <v>30</v>
      </c>
      <c r="E6" s="174"/>
      <c r="F6" s="76">
        <v>3</v>
      </c>
      <c r="G6" s="76">
        <v>6</v>
      </c>
      <c r="H6" s="72">
        <f t="shared" si="0"/>
        <v>950000</v>
      </c>
      <c r="I6" s="85">
        <f t="shared" si="1"/>
        <v>50000</v>
      </c>
      <c r="J6" s="90" t="s">
        <v>10</v>
      </c>
      <c r="K6" s="91"/>
      <c r="L6" s="92"/>
      <c r="M6" s="75">
        <v>6</v>
      </c>
      <c r="N6" s="72">
        <f>N12*15%</f>
        <v>900000</v>
      </c>
    </row>
    <row r="7" spans="1:18" s="73" customFormat="1" ht="18" customHeight="1">
      <c r="A7" s="120" t="s">
        <v>75</v>
      </c>
      <c r="B7" s="160">
        <v>14.5</v>
      </c>
      <c r="C7" s="71">
        <v>32</v>
      </c>
      <c r="D7" s="69">
        <v>32</v>
      </c>
      <c r="E7" s="70"/>
      <c r="F7" s="71">
        <v>4</v>
      </c>
      <c r="G7" s="71">
        <v>5</v>
      </c>
      <c r="H7" s="72">
        <f t="shared" si="0"/>
        <v>770000</v>
      </c>
      <c r="I7" s="85">
        <f t="shared" si="1"/>
        <v>50000</v>
      </c>
      <c r="J7" s="90" t="s">
        <v>11</v>
      </c>
      <c r="K7" s="91"/>
      <c r="L7" s="92"/>
      <c r="M7" s="75">
        <v>5</v>
      </c>
      <c r="N7" s="72">
        <f>N12*12%</f>
        <v>720000</v>
      </c>
      <c r="O7" s="79"/>
      <c r="P7" s="79"/>
      <c r="Q7" s="79"/>
      <c r="R7" s="80"/>
    </row>
    <row r="8" spans="1:14" s="73" customFormat="1" ht="18" customHeight="1">
      <c r="A8" s="120" t="s">
        <v>109</v>
      </c>
      <c r="B8" s="160">
        <v>15</v>
      </c>
      <c r="C8" s="77">
        <v>31</v>
      </c>
      <c r="D8" s="69">
        <v>33</v>
      </c>
      <c r="E8" s="70"/>
      <c r="F8" s="71">
        <v>5</v>
      </c>
      <c r="G8" s="71">
        <v>4</v>
      </c>
      <c r="H8" s="72">
        <f t="shared" si="0"/>
        <v>650000</v>
      </c>
      <c r="I8" s="85">
        <f t="shared" si="1"/>
        <v>50000</v>
      </c>
      <c r="J8" s="90" t="s">
        <v>12</v>
      </c>
      <c r="K8" s="91"/>
      <c r="L8" s="92"/>
      <c r="M8" s="75">
        <v>4</v>
      </c>
      <c r="N8" s="72">
        <f>N12*10%</f>
        <v>600000</v>
      </c>
    </row>
    <row r="9" spans="1:14" s="73" customFormat="1" ht="18" customHeight="1">
      <c r="A9" s="120" t="s">
        <v>59</v>
      </c>
      <c r="B9" s="160">
        <v>16.4</v>
      </c>
      <c r="C9" s="74">
        <v>29</v>
      </c>
      <c r="D9" s="77">
        <v>38</v>
      </c>
      <c r="E9" s="70"/>
      <c r="F9" s="81">
        <v>6</v>
      </c>
      <c r="G9" s="81">
        <v>3</v>
      </c>
      <c r="H9" s="72">
        <f t="shared" si="0"/>
        <v>530000</v>
      </c>
      <c r="I9" s="85">
        <f t="shared" si="1"/>
        <v>50000</v>
      </c>
      <c r="J9" s="90" t="s">
        <v>13</v>
      </c>
      <c r="K9" s="91"/>
      <c r="L9" s="92"/>
      <c r="M9" s="75">
        <v>3</v>
      </c>
      <c r="N9" s="72">
        <f>N12*8%</f>
        <v>480000</v>
      </c>
    </row>
    <row r="10" spans="1:14" s="73" customFormat="1" ht="18" customHeight="1">
      <c r="A10" s="120" t="s">
        <v>326</v>
      </c>
      <c r="B10" s="160">
        <v>15.5</v>
      </c>
      <c r="C10" s="71">
        <v>28</v>
      </c>
      <c r="D10" s="77">
        <v>37</v>
      </c>
      <c r="E10" s="70"/>
      <c r="F10" s="71">
        <v>7</v>
      </c>
      <c r="G10" s="71">
        <v>2</v>
      </c>
      <c r="H10" s="72">
        <f t="shared" si="0"/>
        <v>410000</v>
      </c>
      <c r="I10" s="85">
        <f t="shared" si="1"/>
        <v>50000</v>
      </c>
      <c r="J10" s="90" t="s">
        <v>14</v>
      </c>
      <c r="K10" s="91"/>
      <c r="L10" s="92"/>
      <c r="M10" s="75">
        <v>2</v>
      </c>
      <c r="N10" s="72">
        <f>N12*6%</f>
        <v>360000</v>
      </c>
    </row>
    <row r="11" spans="1:14" s="73" customFormat="1" ht="18" customHeight="1">
      <c r="A11" s="120" t="s">
        <v>76</v>
      </c>
      <c r="B11" s="160">
        <v>11.8</v>
      </c>
      <c r="C11" s="71">
        <v>27</v>
      </c>
      <c r="D11" s="74">
        <v>32</v>
      </c>
      <c r="E11" s="174"/>
      <c r="F11" s="71">
        <v>8</v>
      </c>
      <c r="G11" s="71">
        <v>1</v>
      </c>
      <c r="H11" s="72">
        <f t="shared" si="0"/>
        <v>290000</v>
      </c>
      <c r="I11" s="85">
        <f t="shared" si="1"/>
        <v>50000</v>
      </c>
      <c r="J11" s="90" t="s">
        <v>15</v>
      </c>
      <c r="K11" s="91"/>
      <c r="L11" s="92"/>
      <c r="M11" s="75">
        <v>1</v>
      </c>
      <c r="N11" s="72">
        <f>N12*4%</f>
        <v>240000</v>
      </c>
    </row>
    <row r="12" spans="1:14" s="73" customFormat="1" ht="18" customHeight="1">
      <c r="A12" s="120" t="s">
        <v>110</v>
      </c>
      <c r="B12" s="160">
        <v>15.3</v>
      </c>
      <c r="C12" s="71">
        <v>24</v>
      </c>
      <c r="D12" s="69">
        <v>41</v>
      </c>
      <c r="E12" s="70"/>
      <c r="F12" s="68"/>
      <c r="G12" s="71"/>
      <c r="H12" s="72">
        <f aca="true" t="shared" si="2" ref="H12:H27">I12</f>
        <v>50000</v>
      </c>
      <c r="I12" s="85">
        <f aca="true" t="shared" si="3" ref="I12:I27">IF(E12&gt;0,$N$13,0)+IF(C12&gt;0,50000,0)+IF(C12&lt;0,50000,0)</f>
        <v>50000</v>
      </c>
      <c r="J12" s="93" t="s">
        <v>3</v>
      </c>
      <c r="K12" s="91"/>
      <c r="L12" s="92"/>
      <c r="M12" s="75"/>
      <c r="N12" s="82">
        <v>6000000</v>
      </c>
    </row>
    <row r="13" spans="1:14" s="73" customFormat="1" ht="18" customHeight="1">
      <c r="A13" s="120" t="s">
        <v>58</v>
      </c>
      <c r="B13" s="160">
        <v>7</v>
      </c>
      <c r="C13" s="74">
        <v>23</v>
      </c>
      <c r="D13" s="69">
        <v>37</v>
      </c>
      <c r="E13" s="174"/>
      <c r="F13" s="71"/>
      <c r="G13" s="71"/>
      <c r="H13" s="72">
        <f t="shared" si="2"/>
        <v>50000</v>
      </c>
      <c r="I13" s="85">
        <f t="shared" si="3"/>
        <v>50000</v>
      </c>
      <c r="J13" s="122" t="s">
        <v>62</v>
      </c>
      <c r="K13" s="123"/>
      <c r="L13" s="124"/>
      <c r="M13" s="125">
        <v>1</v>
      </c>
      <c r="N13" s="126">
        <f>N10</f>
        <v>360000</v>
      </c>
    </row>
    <row r="14" spans="1:14" s="73" customFormat="1" ht="18" customHeight="1">
      <c r="A14" s="120" t="s">
        <v>111</v>
      </c>
      <c r="B14" s="160">
        <v>14.2</v>
      </c>
      <c r="C14" s="71">
        <v>23</v>
      </c>
      <c r="D14" s="69">
        <v>39</v>
      </c>
      <c r="E14" s="70"/>
      <c r="F14" s="71"/>
      <c r="G14" s="71"/>
      <c r="H14" s="72">
        <f t="shared" si="2"/>
        <v>50000</v>
      </c>
      <c r="I14" s="85">
        <f t="shared" si="3"/>
        <v>50000</v>
      </c>
      <c r="J14" s="131"/>
      <c r="K14" s="123"/>
      <c r="L14" s="123"/>
      <c r="M14" s="132"/>
      <c r="N14" s="133"/>
    </row>
    <row r="15" spans="1:14" s="73" customFormat="1" ht="18" customHeight="1">
      <c r="A15" s="120" t="s">
        <v>77</v>
      </c>
      <c r="B15" s="160">
        <v>21.6</v>
      </c>
      <c r="C15" s="74">
        <v>21</v>
      </c>
      <c r="D15" s="69">
        <v>40</v>
      </c>
      <c r="E15" s="70"/>
      <c r="F15" s="71"/>
      <c r="G15" s="71"/>
      <c r="H15" s="72">
        <f t="shared" si="2"/>
        <v>50000</v>
      </c>
      <c r="I15" s="85">
        <f t="shared" si="3"/>
        <v>50000</v>
      </c>
      <c r="J15" s="127"/>
      <c r="K15" s="128"/>
      <c r="L15" s="128"/>
      <c r="M15" s="129"/>
      <c r="N15" s="130"/>
    </row>
    <row r="16" spans="1:9" s="73" customFormat="1" ht="18" customHeight="1">
      <c r="A16" s="120" t="s">
        <v>115</v>
      </c>
      <c r="B16" s="160">
        <v>14.6</v>
      </c>
      <c r="C16" s="76">
        <v>20</v>
      </c>
      <c r="D16" s="69">
        <v>40</v>
      </c>
      <c r="E16" s="70"/>
      <c r="F16" s="76"/>
      <c r="G16" s="76"/>
      <c r="H16" s="72">
        <f t="shared" si="2"/>
        <v>50000</v>
      </c>
      <c r="I16" s="85">
        <f t="shared" si="3"/>
        <v>50000</v>
      </c>
    </row>
    <row r="17" spans="1:13" s="73" customFormat="1" ht="18" customHeight="1">
      <c r="A17" s="120" t="s">
        <v>66</v>
      </c>
      <c r="B17" s="160">
        <v>25</v>
      </c>
      <c r="C17" s="71">
        <v>20</v>
      </c>
      <c r="D17" s="77">
        <v>41</v>
      </c>
      <c r="E17" s="174"/>
      <c r="F17" s="76"/>
      <c r="G17" s="76"/>
      <c r="H17" s="72">
        <f t="shared" si="2"/>
        <v>50000</v>
      </c>
      <c r="I17" s="85">
        <f t="shared" si="3"/>
        <v>50000</v>
      </c>
      <c r="J17" s="79"/>
      <c r="K17" s="79"/>
      <c r="L17" s="79"/>
      <c r="M17" s="80"/>
    </row>
    <row r="18" spans="1:13" s="73" customFormat="1" ht="18" customHeight="1">
      <c r="A18" s="120"/>
      <c r="B18" s="160"/>
      <c r="C18" s="71"/>
      <c r="D18" s="69"/>
      <c r="E18" s="174"/>
      <c r="F18" s="71"/>
      <c r="G18" s="71"/>
      <c r="H18" s="72">
        <f t="shared" si="2"/>
        <v>0</v>
      </c>
      <c r="I18" s="85">
        <f t="shared" si="3"/>
        <v>0</v>
      </c>
      <c r="J18" s="80"/>
      <c r="K18" s="80"/>
      <c r="L18" s="80"/>
      <c r="M18" s="80"/>
    </row>
    <row r="19" spans="1:13" s="73" customFormat="1" ht="18" customHeight="1">
      <c r="A19" s="120"/>
      <c r="B19" s="160"/>
      <c r="C19" s="71"/>
      <c r="D19" s="77"/>
      <c r="E19" s="70"/>
      <c r="F19" s="71"/>
      <c r="G19" s="71"/>
      <c r="H19" s="72">
        <f t="shared" si="2"/>
        <v>0</v>
      </c>
      <c r="I19" s="85">
        <f t="shared" si="3"/>
        <v>0</v>
      </c>
      <c r="J19" s="80"/>
      <c r="K19" s="80"/>
      <c r="L19" s="80"/>
      <c r="M19" s="80"/>
    </row>
    <row r="20" spans="1:9" s="4" customFormat="1" ht="18" customHeight="1">
      <c r="A20" s="120"/>
      <c r="B20" s="160"/>
      <c r="C20" s="71"/>
      <c r="D20" s="69"/>
      <c r="E20" s="70"/>
      <c r="F20" s="76"/>
      <c r="G20" s="76"/>
      <c r="H20" s="72">
        <f t="shared" si="2"/>
        <v>0</v>
      </c>
      <c r="I20" s="85">
        <f t="shared" si="3"/>
        <v>0</v>
      </c>
    </row>
    <row r="21" spans="1:9" s="4" customFormat="1" ht="18" customHeight="1">
      <c r="A21" s="120"/>
      <c r="B21" s="160"/>
      <c r="C21" s="71"/>
      <c r="D21" s="69"/>
      <c r="E21" s="70"/>
      <c r="F21" s="76"/>
      <c r="G21" s="76"/>
      <c r="H21" s="72">
        <f t="shared" si="2"/>
        <v>0</v>
      </c>
      <c r="I21" s="85">
        <f t="shared" si="3"/>
        <v>0</v>
      </c>
    </row>
    <row r="22" spans="1:9" s="4" customFormat="1" ht="18" customHeight="1">
      <c r="A22" s="120"/>
      <c r="B22" s="160"/>
      <c r="C22" s="74"/>
      <c r="D22" s="69"/>
      <c r="E22" s="174"/>
      <c r="F22" s="76"/>
      <c r="G22" s="76"/>
      <c r="H22" s="72">
        <f t="shared" si="2"/>
        <v>0</v>
      </c>
      <c r="I22" s="85">
        <f t="shared" si="3"/>
        <v>0</v>
      </c>
    </row>
    <row r="23" spans="1:9" s="4" customFormat="1" ht="18" customHeight="1">
      <c r="A23" s="120"/>
      <c r="B23" s="160"/>
      <c r="C23" s="71"/>
      <c r="D23" s="69"/>
      <c r="E23" s="70"/>
      <c r="F23" s="76"/>
      <c r="G23" s="76"/>
      <c r="H23" s="72">
        <f t="shared" si="2"/>
        <v>0</v>
      </c>
      <c r="I23" s="85">
        <f t="shared" si="3"/>
        <v>0</v>
      </c>
    </row>
    <row r="24" spans="1:9" s="4" customFormat="1" ht="18" customHeight="1">
      <c r="A24" s="120"/>
      <c r="B24" s="160"/>
      <c r="C24" s="74"/>
      <c r="D24" s="69"/>
      <c r="E24" s="174"/>
      <c r="F24" s="76"/>
      <c r="G24" s="76"/>
      <c r="H24" s="72">
        <f t="shared" si="2"/>
        <v>0</v>
      </c>
      <c r="I24" s="85">
        <f t="shared" si="3"/>
        <v>0</v>
      </c>
    </row>
    <row r="25" spans="1:9" s="4" customFormat="1" ht="18" customHeight="1">
      <c r="A25" s="120"/>
      <c r="B25" s="160"/>
      <c r="C25" s="71"/>
      <c r="D25" s="77"/>
      <c r="E25" s="70"/>
      <c r="F25" s="76"/>
      <c r="G25" s="76"/>
      <c r="H25" s="72">
        <f t="shared" si="2"/>
        <v>0</v>
      </c>
      <c r="I25" s="85">
        <f t="shared" si="3"/>
        <v>0</v>
      </c>
    </row>
    <row r="26" spans="1:9" s="4" customFormat="1" ht="18" customHeight="1">
      <c r="A26" s="120"/>
      <c r="B26" s="160"/>
      <c r="C26" s="68"/>
      <c r="D26" s="77"/>
      <c r="E26" s="70"/>
      <c r="F26" s="71"/>
      <c r="G26" s="71"/>
      <c r="H26" s="72">
        <f t="shared" si="2"/>
        <v>0</v>
      </c>
      <c r="I26" s="85">
        <f t="shared" si="3"/>
        <v>0</v>
      </c>
    </row>
    <row r="27" spans="1:9" s="4" customFormat="1" ht="18" customHeight="1">
      <c r="A27" s="121"/>
      <c r="B27" s="67"/>
      <c r="C27" s="71"/>
      <c r="D27" s="69"/>
      <c r="E27" s="70"/>
      <c r="F27" s="71"/>
      <c r="G27" s="71"/>
      <c r="H27" s="72">
        <f t="shared" si="2"/>
        <v>0</v>
      </c>
      <c r="I27" s="85">
        <f t="shared" si="3"/>
        <v>0</v>
      </c>
    </row>
    <row r="28" spans="1:9" ht="24" customHeight="1" thickBot="1">
      <c r="A28" s="1"/>
      <c r="B28" s="2"/>
      <c r="C28" s="3"/>
      <c r="D28" s="177">
        <f>SUM(D4:D27)</f>
        <v>505</v>
      </c>
      <c r="E28" s="3"/>
      <c r="F28" s="2"/>
      <c r="G28" s="178">
        <f>SUM(G4:G27)</f>
        <v>39</v>
      </c>
      <c r="H28" s="178">
        <f>SUM(H4:H27)</f>
        <v>7060000</v>
      </c>
      <c r="I28" s="86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4330708661417323" right="0.4330708661417323" top="0.5511811023622047" bottom="0.5511811023622047" header="0.31496062992125984" footer="0.31496062992125984"/>
  <pageSetup fitToHeight="1" fitToWidth="1" orientation="landscape" paperSize="9" scale="8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4" customFormat="1" ht="43.5" customHeight="1">
      <c r="B1" s="374" t="s">
        <v>317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2:14" s="4" customFormat="1" ht="29.25" customHeight="1">
      <c r="B2" s="375" t="s">
        <v>121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52</v>
      </c>
      <c r="F3" s="63" t="s">
        <v>6</v>
      </c>
      <c r="G3" s="64" t="s">
        <v>5</v>
      </c>
      <c r="H3" s="65" t="s">
        <v>51</v>
      </c>
      <c r="I3" s="66"/>
      <c r="J3" s="138" t="s">
        <v>6</v>
      </c>
      <c r="K3" s="134"/>
      <c r="L3" s="135"/>
      <c r="M3" s="136" t="s">
        <v>5</v>
      </c>
      <c r="N3" s="137" t="s">
        <v>4</v>
      </c>
    </row>
    <row r="4" spans="1:14" s="73" customFormat="1" ht="18" customHeight="1">
      <c r="A4" s="120" t="s">
        <v>58</v>
      </c>
      <c r="B4" s="160">
        <v>7</v>
      </c>
      <c r="C4" s="74">
        <v>32</v>
      </c>
      <c r="D4" s="69">
        <v>35</v>
      </c>
      <c r="E4" s="70" t="s">
        <v>319</v>
      </c>
      <c r="F4" s="71">
        <v>1</v>
      </c>
      <c r="G4" s="68">
        <v>10</v>
      </c>
      <c r="H4" s="72">
        <f aca="true" t="shared" si="0" ref="H4:H11">N4+I4</f>
        <v>1900000</v>
      </c>
      <c r="I4" s="85">
        <f>2*IF(E4&gt;0,$N$13,0)+IF(C4&gt;0,50000,0)+IF(C12&lt;0,50000,0)</f>
        <v>650000</v>
      </c>
      <c r="J4" s="87" t="s">
        <v>8</v>
      </c>
      <c r="K4" s="88"/>
      <c r="L4" s="89"/>
      <c r="M4" s="78">
        <v>10</v>
      </c>
      <c r="N4" s="72">
        <f>N12*25%</f>
        <v>1250000</v>
      </c>
    </row>
    <row r="5" spans="1:14" s="73" customFormat="1" ht="18" customHeight="1">
      <c r="A5" s="120" t="s">
        <v>110</v>
      </c>
      <c r="B5" s="160">
        <v>15.1</v>
      </c>
      <c r="C5" s="74">
        <v>30</v>
      </c>
      <c r="D5" s="69">
        <v>35</v>
      </c>
      <c r="E5" s="174"/>
      <c r="F5" s="71">
        <v>2</v>
      </c>
      <c r="G5" s="71">
        <v>8</v>
      </c>
      <c r="H5" s="72">
        <f t="shared" si="0"/>
        <v>1050000</v>
      </c>
      <c r="I5" s="85">
        <f>IF(E5&gt;0,$N$13,0)+IF(C5&gt;0,50000,0)+IF(C13&lt;0,50000,0)</f>
        <v>50000</v>
      </c>
      <c r="J5" s="90" t="s">
        <v>9</v>
      </c>
      <c r="K5" s="91"/>
      <c r="L5" s="92"/>
      <c r="M5" s="75">
        <v>8</v>
      </c>
      <c r="N5" s="72">
        <f>N12*20%</f>
        <v>1000000</v>
      </c>
    </row>
    <row r="6" spans="1:14" s="73" customFormat="1" ht="18" customHeight="1">
      <c r="A6" s="120" t="s">
        <v>78</v>
      </c>
      <c r="B6" s="160">
        <v>13.1</v>
      </c>
      <c r="C6" s="71">
        <v>28</v>
      </c>
      <c r="D6" s="69">
        <v>36</v>
      </c>
      <c r="E6" s="174">
        <v>6.52</v>
      </c>
      <c r="F6" s="76">
        <v>3</v>
      </c>
      <c r="G6" s="76">
        <v>6</v>
      </c>
      <c r="H6" s="72">
        <f t="shared" si="0"/>
        <v>1100000</v>
      </c>
      <c r="I6" s="85">
        <f aca="true" t="shared" si="1" ref="I6:I11">IF(E6&gt;0,$N$13,0)+IF(C6&gt;0,50000,0)+IF(C14&lt;0,50000,0)</f>
        <v>350000</v>
      </c>
      <c r="J6" s="90" t="s">
        <v>10</v>
      </c>
      <c r="K6" s="91"/>
      <c r="L6" s="92"/>
      <c r="M6" s="75">
        <v>6</v>
      </c>
      <c r="N6" s="72">
        <f>N12*15%</f>
        <v>750000</v>
      </c>
    </row>
    <row r="7" spans="1:18" s="73" customFormat="1" ht="18" customHeight="1">
      <c r="A7" s="120" t="s">
        <v>109</v>
      </c>
      <c r="B7" s="160">
        <v>15</v>
      </c>
      <c r="C7" s="71">
        <v>28</v>
      </c>
      <c r="D7" s="69">
        <v>35</v>
      </c>
      <c r="E7" s="174"/>
      <c r="F7" s="71">
        <v>4</v>
      </c>
      <c r="G7" s="71">
        <v>5</v>
      </c>
      <c r="H7" s="72">
        <f t="shared" si="0"/>
        <v>650000</v>
      </c>
      <c r="I7" s="85">
        <f t="shared" si="1"/>
        <v>50000</v>
      </c>
      <c r="J7" s="90" t="s">
        <v>11</v>
      </c>
      <c r="K7" s="91"/>
      <c r="L7" s="92"/>
      <c r="M7" s="75">
        <v>5</v>
      </c>
      <c r="N7" s="72">
        <f>N12*12%</f>
        <v>600000</v>
      </c>
      <c r="O7" s="79"/>
      <c r="P7" s="79"/>
      <c r="Q7" s="79"/>
      <c r="R7" s="80"/>
    </row>
    <row r="8" spans="1:14" s="73" customFormat="1" ht="18" customHeight="1">
      <c r="A8" s="120" t="s">
        <v>70</v>
      </c>
      <c r="B8" s="160">
        <v>16.9</v>
      </c>
      <c r="C8" s="71">
        <v>28</v>
      </c>
      <c r="D8" s="69">
        <v>37</v>
      </c>
      <c r="E8" s="70"/>
      <c r="F8" s="71">
        <v>5</v>
      </c>
      <c r="G8" s="71">
        <v>4</v>
      </c>
      <c r="H8" s="72">
        <f t="shared" si="0"/>
        <v>550000</v>
      </c>
      <c r="I8" s="85">
        <f t="shared" si="1"/>
        <v>50000</v>
      </c>
      <c r="J8" s="90" t="s">
        <v>12</v>
      </c>
      <c r="K8" s="91"/>
      <c r="L8" s="92"/>
      <c r="M8" s="75">
        <v>4</v>
      </c>
      <c r="N8" s="72">
        <f>N12*10%</f>
        <v>500000</v>
      </c>
    </row>
    <row r="9" spans="1:14" s="73" customFormat="1" ht="18" customHeight="1">
      <c r="A9" s="120" t="s">
        <v>76</v>
      </c>
      <c r="B9" s="160">
        <v>12.2</v>
      </c>
      <c r="C9" s="71">
        <v>26</v>
      </c>
      <c r="D9" s="77">
        <v>40</v>
      </c>
      <c r="E9" s="70"/>
      <c r="F9" s="81">
        <v>6</v>
      </c>
      <c r="G9" s="81">
        <v>3</v>
      </c>
      <c r="H9" s="72">
        <f t="shared" si="0"/>
        <v>450000</v>
      </c>
      <c r="I9" s="85">
        <f t="shared" si="1"/>
        <v>50000</v>
      </c>
      <c r="J9" s="90" t="s">
        <v>13</v>
      </c>
      <c r="K9" s="91"/>
      <c r="L9" s="92"/>
      <c r="M9" s="75">
        <v>3</v>
      </c>
      <c r="N9" s="72">
        <f>N12*8%</f>
        <v>400000</v>
      </c>
    </row>
    <row r="10" spans="1:14" s="73" customFormat="1" ht="18" customHeight="1">
      <c r="A10" s="120" t="s">
        <v>75</v>
      </c>
      <c r="B10" s="160">
        <v>16.6</v>
      </c>
      <c r="C10" s="71">
        <v>26</v>
      </c>
      <c r="D10" s="74">
        <v>33</v>
      </c>
      <c r="E10" s="70"/>
      <c r="F10" s="71">
        <v>7</v>
      </c>
      <c r="G10" s="71">
        <v>2</v>
      </c>
      <c r="H10" s="72">
        <f t="shared" si="0"/>
        <v>350000</v>
      </c>
      <c r="I10" s="85">
        <f t="shared" si="1"/>
        <v>50000</v>
      </c>
      <c r="J10" s="90" t="s">
        <v>14</v>
      </c>
      <c r="K10" s="91"/>
      <c r="L10" s="92"/>
      <c r="M10" s="75">
        <v>2</v>
      </c>
      <c r="N10" s="72">
        <f>N12*6%</f>
        <v>300000</v>
      </c>
    </row>
    <row r="11" spans="1:14" s="73" customFormat="1" ht="18" customHeight="1">
      <c r="A11" s="120" t="s">
        <v>71</v>
      </c>
      <c r="B11" s="160">
        <v>6.3</v>
      </c>
      <c r="C11" s="74">
        <v>25</v>
      </c>
      <c r="D11" s="69">
        <v>34</v>
      </c>
      <c r="E11" s="70">
        <v>8</v>
      </c>
      <c r="F11" s="71">
        <v>8</v>
      </c>
      <c r="G11" s="71">
        <v>1</v>
      </c>
      <c r="H11" s="72">
        <f t="shared" si="0"/>
        <v>550000</v>
      </c>
      <c r="I11" s="85">
        <f t="shared" si="1"/>
        <v>350000</v>
      </c>
      <c r="J11" s="90" t="s">
        <v>15</v>
      </c>
      <c r="K11" s="91"/>
      <c r="L11" s="92"/>
      <c r="M11" s="75">
        <v>1</v>
      </c>
      <c r="N11" s="72">
        <f>N12*4%</f>
        <v>200000</v>
      </c>
    </row>
    <row r="12" spans="1:14" s="73" customFormat="1" ht="18" customHeight="1">
      <c r="A12" s="120" t="s">
        <v>77</v>
      </c>
      <c r="B12" s="160">
        <v>22.8</v>
      </c>
      <c r="C12" s="71">
        <v>25</v>
      </c>
      <c r="D12" s="77">
        <v>40</v>
      </c>
      <c r="E12" s="70"/>
      <c r="F12" s="68"/>
      <c r="G12" s="71"/>
      <c r="H12" s="72">
        <f aca="true" t="shared" si="2" ref="H12:H27">I12</f>
        <v>50000</v>
      </c>
      <c r="I12" s="85">
        <f aca="true" t="shared" si="3" ref="I12:I27">IF(E12&gt;0,$N$13,0)+IF(C12&gt;0,50000,0)+IF(C12&lt;0,50000,0)</f>
        <v>50000</v>
      </c>
      <c r="J12" s="93" t="s">
        <v>3</v>
      </c>
      <c r="K12" s="91"/>
      <c r="L12" s="92"/>
      <c r="M12" s="75"/>
      <c r="N12" s="82">
        <v>5000000</v>
      </c>
    </row>
    <row r="13" spans="1:14" s="73" customFormat="1" ht="18" customHeight="1">
      <c r="A13" s="120" t="s">
        <v>59</v>
      </c>
      <c r="B13" s="160">
        <v>18.6</v>
      </c>
      <c r="C13" s="71">
        <v>24</v>
      </c>
      <c r="D13" s="77">
        <v>36</v>
      </c>
      <c r="E13" s="70"/>
      <c r="F13" s="71"/>
      <c r="G13" s="71"/>
      <c r="H13" s="72">
        <f t="shared" si="2"/>
        <v>50000</v>
      </c>
      <c r="I13" s="85">
        <f t="shared" si="3"/>
        <v>50000</v>
      </c>
      <c r="J13" s="122" t="s">
        <v>62</v>
      </c>
      <c r="K13" s="123"/>
      <c r="L13" s="124"/>
      <c r="M13" s="125">
        <v>1</v>
      </c>
      <c r="N13" s="126">
        <f>N10</f>
        <v>300000</v>
      </c>
    </row>
    <row r="14" spans="1:14" s="73" customFormat="1" ht="18" customHeight="1">
      <c r="A14" s="120" t="s">
        <v>115</v>
      </c>
      <c r="B14" s="160">
        <v>14.3</v>
      </c>
      <c r="C14" s="68">
        <v>23</v>
      </c>
      <c r="D14" s="77">
        <v>37</v>
      </c>
      <c r="E14" s="70">
        <v>2.83</v>
      </c>
      <c r="F14" s="71"/>
      <c r="G14" s="71"/>
      <c r="H14" s="72">
        <f t="shared" si="2"/>
        <v>350000</v>
      </c>
      <c r="I14" s="85">
        <f t="shared" si="3"/>
        <v>350000</v>
      </c>
      <c r="J14" s="131"/>
      <c r="K14" s="123"/>
      <c r="L14" s="123"/>
      <c r="M14" s="132"/>
      <c r="N14" s="133"/>
    </row>
    <row r="15" spans="1:14" s="73" customFormat="1" ht="18" customHeight="1">
      <c r="A15" s="120" t="s">
        <v>60</v>
      </c>
      <c r="B15" s="160">
        <v>8.2</v>
      </c>
      <c r="C15" s="74">
        <v>22</v>
      </c>
      <c r="D15" s="77">
        <v>39</v>
      </c>
      <c r="E15" s="70"/>
      <c r="F15" s="71"/>
      <c r="G15" s="71"/>
      <c r="H15" s="72">
        <f t="shared" si="2"/>
        <v>50000</v>
      </c>
      <c r="I15" s="85">
        <f t="shared" si="3"/>
        <v>50000</v>
      </c>
      <c r="J15" s="127"/>
      <c r="K15" s="128"/>
      <c r="L15" s="128"/>
      <c r="M15" s="129"/>
      <c r="N15" s="130"/>
    </row>
    <row r="16" spans="1:9" s="73" customFormat="1" ht="18" customHeight="1">
      <c r="A16" s="120" t="s">
        <v>66</v>
      </c>
      <c r="B16" s="160">
        <v>24.8</v>
      </c>
      <c r="C16" s="77">
        <v>22</v>
      </c>
      <c r="D16" s="69">
        <v>43</v>
      </c>
      <c r="E16" s="70"/>
      <c r="F16" s="76"/>
      <c r="G16" s="76"/>
      <c r="H16" s="72">
        <f t="shared" si="2"/>
        <v>50000</v>
      </c>
      <c r="I16" s="85">
        <f t="shared" si="3"/>
        <v>50000</v>
      </c>
    </row>
    <row r="17" spans="1:18" s="73" customFormat="1" ht="18" customHeight="1">
      <c r="A17" s="120" t="s">
        <v>119</v>
      </c>
      <c r="B17" s="160">
        <v>11.2</v>
      </c>
      <c r="C17" s="74">
        <v>21</v>
      </c>
      <c r="D17" s="77">
        <v>39</v>
      </c>
      <c r="E17" s="174"/>
      <c r="F17" s="76"/>
      <c r="G17" s="76"/>
      <c r="H17" s="72">
        <f t="shared" si="2"/>
        <v>50000</v>
      </c>
      <c r="I17" s="85">
        <f t="shared" si="3"/>
        <v>50000</v>
      </c>
      <c r="O17" s="79"/>
      <c r="P17" s="79"/>
      <c r="Q17" s="79"/>
      <c r="R17" s="80"/>
    </row>
    <row r="18" spans="1:13" s="73" customFormat="1" ht="18" customHeight="1">
      <c r="A18" s="120" t="s">
        <v>116</v>
      </c>
      <c r="B18" s="160">
        <v>17.3</v>
      </c>
      <c r="C18" s="71">
        <v>21</v>
      </c>
      <c r="D18" s="69">
        <v>41</v>
      </c>
      <c r="E18" s="174"/>
      <c r="F18" s="71"/>
      <c r="G18" s="71"/>
      <c r="H18" s="72">
        <f t="shared" si="2"/>
        <v>50000</v>
      </c>
      <c r="I18" s="85">
        <f t="shared" si="3"/>
        <v>50000</v>
      </c>
      <c r="J18" s="80"/>
      <c r="K18" s="80"/>
      <c r="L18" s="80"/>
      <c r="M18" s="80"/>
    </row>
    <row r="19" spans="1:13" s="73" customFormat="1" ht="18" customHeight="1">
      <c r="A19" s="120" t="s">
        <v>118</v>
      </c>
      <c r="B19" s="160">
        <v>20</v>
      </c>
      <c r="C19" s="71">
        <v>21</v>
      </c>
      <c r="D19" s="77">
        <v>38</v>
      </c>
      <c r="E19" s="174"/>
      <c r="F19" s="71"/>
      <c r="G19" s="71"/>
      <c r="H19" s="72">
        <f t="shared" si="2"/>
        <v>50000</v>
      </c>
      <c r="I19" s="85">
        <f t="shared" si="3"/>
        <v>50000</v>
      </c>
      <c r="J19" s="80"/>
      <c r="K19" s="80"/>
      <c r="L19" s="80"/>
      <c r="M19" s="80"/>
    </row>
    <row r="20" spans="1:9" s="4" customFormat="1" ht="18" customHeight="1">
      <c r="A20" s="120" t="s">
        <v>74</v>
      </c>
      <c r="B20" s="160">
        <v>17.8</v>
      </c>
      <c r="C20" s="71">
        <v>19</v>
      </c>
      <c r="D20" s="69">
        <v>42</v>
      </c>
      <c r="E20" s="70"/>
      <c r="F20" s="76"/>
      <c r="G20" s="76"/>
      <c r="H20" s="72">
        <f t="shared" si="2"/>
        <v>50000</v>
      </c>
      <c r="I20" s="85">
        <f t="shared" si="3"/>
        <v>50000</v>
      </c>
    </row>
    <row r="21" spans="1:9" s="4" customFormat="1" ht="18" customHeight="1">
      <c r="A21" s="120" t="s">
        <v>61</v>
      </c>
      <c r="B21" s="160">
        <v>22.1</v>
      </c>
      <c r="C21" s="71">
        <v>9</v>
      </c>
      <c r="D21" s="69">
        <v>47</v>
      </c>
      <c r="E21" s="70"/>
      <c r="F21" s="76"/>
      <c r="G21" s="76"/>
      <c r="H21" s="72">
        <f t="shared" si="2"/>
        <v>50000</v>
      </c>
      <c r="I21" s="85">
        <f t="shared" si="3"/>
        <v>50000</v>
      </c>
    </row>
    <row r="22" spans="1:9" s="4" customFormat="1" ht="18" customHeight="1">
      <c r="A22" s="120"/>
      <c r="B22" s="160"/>
      <c r="C22" s="71"/>
      <c r="D22" s="69"/>
      <c r="E22" s="70"/>
      <c r="F22" s="76"/>
      <c r="G22" s="76"/>
      <c r="H22" s="72">
        <f t="shared" si="2"/>
        <v>0</v>
      </c>
      <c r="I22" s="85">
        <f t="shared" si="3"/>
        <v>0</v>
      </c>
    </row>
    <row r="23" spans="1:9" s="4" customFormat="1" ht="18" customHeight="1">
      <c r="A23" s="120"/>
      <c r="B23" s="160"/>
      <c r="C23" s="71"/>
      <c r="D23" s="77"/>
      <c r="E23" s="70"/>
      <c r="F23" s="76"/>
      <c r="G23" s="76"/>
      <c r="H23" s="72">
        <f t="shared" si="2"/>
        <v>0</v>
      </c>
      <c r="I23" s="85">
        <f t="shared" si="3"/>
        <v>0</v>
      </c>
    </row>
    <row r="24" spans="1:9" s="4" customFormat="1" ht="18" customHeight="1">
      <c r="A24" s="120"/>
      <c r="B24" s="160"/>
      <c r="C24" s="71"/>
      <c r="D24" s="69"/>
      <c r="E24" s="70"/>
      <c r="F24" s="76"/>
      <c r="G24" s="76"/>
      <c r="H24" s="72">
        <f t="shared" si="2"/>
        <v>0</v>
      </c>
      <c r="I24" s="85">
        <f t="shared" si="3"/>
        <v>0</v>
      </c>
    </row>
    <row r="25" spans="1:9" s="4" customFormat="1" ht="18" customHeight="1">
      <c r="A25" s="120"/>
      <c r="B25" s="160"/>
      <c r="C25" s="71"/>
      <c r="D25" s="69"/>
      <c r="E25" s="174"/>
      <c r="F25" s="76"/>
      <c r="G25" s="76"/>
      <c r="H25" s="72">
        <f t="shared" si="2"/>
        <v>0</v>
      </c>
      <c r="I25" s="85">
        <f t="shared" si="3"/>
        <v>0</v>
      </c>
    </row>
    <row r="26" spans="1:9" s="4" customFormat="1" ht="18" customHeight="1">
      <c r="A26" s="120"/>
      <c r="B26" s="160"/>
      <c r="C26" s="74"/>
      <c r="D26" s="69"/>
      <c r="E26" s="174"/>
      <c r="F26" s="71"/>
      <c r="G26" s="71"/>
      <c r="H26" s="72">
        <f t="shared" si="2"/>
        <v>0</v>
      </c>
      <c r="I26" s="85">
        <f t="shared" si="3"/>
        <v>0</v>
      </c>
    </row>
    <row r="27" spans="1:9" s="4" customFormat="1" ht="18" customHeight="1">
      <c r="A27" s="120"/>
      <c r="B27" s="160"/>
      <c r="C27" s="76"/>
      <c r="D27" s="69"/>
      <c r="E27" s="70"/>
      <c r="F27" s="71"/>
      <c r="G27" s="71"/>
      <c r="H27" s="72">
        <f t="shared" si="2"/>
        <v>0</v>
      </c>
      <c r="I27" s="85">
        <f t="shared" si="3"/>
        <v>0</v>
      </c>
    </row>
    <row r="28" spans="1:9" ht="24" customHeight="1" thickBot="1">
      <c r="A28" s="1"/>
      <c r="B28" s="2"/>
      <c r="C28" s="3"/>
      <c r="D28" s="177">
        <f>SUM(D4:D27)</f>
        <v>687</v>
      </c>
      <c r="E28" s="3"/>
      <c r="F28" s="2"/>
      <c r="G28" s="178">
        <f>SUM(G4:G27)</f>
        <v>39</v>
      </c>
      <c r="H28" s="178">
        <f>SUM(H4:H27)</f>
        <v>7400000</v>
      </c>
      <c r="I28" s="86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4330708661417323" right="0.4330708661417323" top="0.5511811023622047" bottom="0.5511811023622047" header="0.31496062992125984" footer="0.31496062992125984"/>
  <pageSetup fitToHeight="1" fitToWidth="1" orientation="landscape" paperSize="9" scale="88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27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4" customFormat="1" ht="43.5" customHeight="1">
      <c r="B1" s="374" t="s">
        <v>316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2:14" s="4" customFormat="1" ht="29.25" customHeight="1">
      <c r="B2" s="375" t="s">
        <v>120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52</v>
      </c>
      <c r="F3" s="63" t="s">
        <v>6</v>
      </c>
      <c r="G3" s="64" t="s">
        <v>5</v>
      </c>
      <c r="H3" s="65" t="s">
        <v>51</v>
      </c>
      <c r="I3" s="66"/>
      <c r="J3" s="138" t="s">
        <v>6</v>
      </c>
      <c r="K3" s="134"/>
      <c r="L3" s="135"/>
      <c r="M3" s="136" t="s">
        <v>5</v>
      </c>
      <c r="N3" s="137" t="s">
        <v>4</v>
      </c>
    </row>
    <row r="4" spans="1:14" s="73" customFormat="1" ht="18" customHeight="1">
      <c r="A4" s="120" t="s">
        <v>60</v>
      </c>
      <c r="B4" s="160">
        <v>17</v>
      </c>
      <c r="C4" s="71">
        <v>39</v>
      </c>
      <c r="D4" s="69"/>
      <c r="E4" s="70"/>
      <c r="F4" s="71">
        <v>1</v>
      </c>
      <c r="G4" s="68">
        <v>10</v>
      </c>
      <c r="H4" s="72">
        <v>1175000</v>
      </c>
      <c r="I4" s="85">
        <f>IF(E4&gt;0,#REF!,0)+IF(C4&gt;0,50000,0)+IF(C13&lt;0,50000,0)</f>
        <v>50000</v>
      </c>
      <c r="J4" s="87">
        <v>1</v>
      </c>
      <c r="K4" s="88"/>
      <c r="L4" s="89" t="s">
        <v>299</v>
      </c>
      <c r="M4" s="78">
        <v>10</v>
      </c>
      <c r="N4" s="72">
        <f>N12*22.5%</f>
        <v>1125000</v>
      </c>
    </row>
    <row r="5" spans="1:14" s="73" customFormat="1" ht="18" customHeight="1">
      <c r="A5" s="120" t="s">
        <v>298</v>
      </c>
      <c r="B5" s="160">
        <v>17</v>
      </c>
      <c r="C5" s="71">
        <v>39</v>
      </c>
      <c r="D5" s="69"/>
      <c r="E5" s="174"/>
      <c r="F5" s="71"/>
      <c r="G5" s="71"/>
      <c r="H5" s="72"/>
      <c r="I5" s="85">
        <f>IF(E5&gt;0,#REF!,0)+IF(C6&gt;0,50000,0)+IF(C14&lt;0,50000,0)</f>
        <v>50000</v>
      </c>
      <c r="J5" s="90">
        <v>2</v>
      </c>
      <c r="K5" s="91"/>
      <c r="L5" s="89" t="s">
        <v>299</v>
      </c>
      <c r="M5" s="75">
        <v>6</v>
      </c>
      <c r="N5" s="72">
        <f>N12*12.5%</f>
        <v>625000</v>
      </c>
    </row>
    <row r="6" spans="1:14" s="73" customFormat="1" ht="18" customHeight="1">
      <c r="A6" s="120" t="s">
        <v>110</v>
      </c>
      <c r="B6" s="160">
        <v>25</v>
      </c>
      <c r="C6" s="74">
        <v>39</v>
      </c>
      <c r="D6" s="69"/>
      <c r="E6" s="174"/>
      <c r="F6" s="76">
        <v>3</v>
      </c>
      <c r="G6" s="76">
        <v>6</v>
      </c>
      <c r="H6" s="72">
        <v>675000</v>
      </c>
      <c r="I6" s="85">
        <f>IF(E6&gt;0,#REF!,0)+IF(C7&gt;0,50000,0)+IF(C15&lt;0,50000,0)</f>
        <v>50000</v>
      </c>
      <c r="J6" s="87">
        <v>3</v>
      </c>
      <c r="K6" s="91"/>
      <c r="L6" s="89" t="s">
        <v>299</v>
      </c>
      <c r="M6" s="75">
        <v>4</v>
      </c>
      <c r="N6" s="72">
        <f>N12*9%</f>
        <v>450000</v>
      </c>
    </row>
    <row r="7" spans="1:18" s="73" customFormat="1" ht="18" customHeight="1">
      <c r="A7" s="120" t="s">
        <v>77</v>
      </c>
      <c r="B7" s="160">
        <v>25</v>
      </c>
      <c r="C7" s="71">
        <v>39</v>
      </c>
      <c r="D7" s="77"/>
      <c r="E7" s="174"/>
      <c r="F7" s="71">
        <v>4</v>
      </c>
      <c r="G7" s="71">
        <v>6</v>
      </c>
      <c r="H7" s="72">
        <v>675000</v>
      </c>
      <c r="I7" s="85">
        <f>IF(E7&gt;0,#REF!,0)+IF(C8&gt;0,50000,0)+IF(C16&lt;0,50000,0)</f>
        <v>50000</v>
      </c>
      <c r="J7" s="90">
        <v>4</v>
      </c>
      <c r="K7" s="91"/>
      <c r="L7" s="89" t="s">
        <v>299</v>
      </c>
      <c r="M7" s="75">
        <v>2</v>
      </c>
      <c r="N7" s="72">
        <f>N12*5%</f>
        <v>250000</v>
      </c>
      <c r="O7" s="79"/>
      <c r="P7" s="79"/>
      <c r="Q7" s="79"/>
      <c r="R7" s="80"/>
    </row>
    <row r="8" spans="1:14" s="73" customFormat="1" ht="18" customHeight="1">
      <c r="A8" s="120" t="s">
        <v>76</v>
      </c>
      <c r="B8" s="160">
        <v>28</v>
      </c>
      <c r="C8" s="77">
        <v>39</v>
      </c>
      <c r="D8" s="69"/>
      <c r="E8" s="70"/>
      <c r="F8" s="71">
        <v>5</v>
      </c>
      <c r="G8" s="71">
        <v>4</v>
      </c>
      <c r="H8" s="72">
        <v>500000</v>
      </c>
      <c r="I8" s="85">
        <f>IF(E8&gt;0,#REF!,0)+IF(C9&gt;0,50000,0)+IF(C17&lt;0,50000,0)</f>
        <v>50000</v>
      </c>
      <c r="J8" s="87">
        <v>5</v>
      </c>
      <c r="K8" s="91"/>
      <c r="L8" s="92"/>
      <c r="M8" s="75"/>
      <c r="N8" s="72"/>
    </row>
    <row r="9" spans="1:14" s="73" customFormat="1" ht="18" customHeight="1">
      <c r="A9" s="120" t="s">
        <v>66</v>
      </c>
      <c r="B9" s="160">
        <v>28</v>
      </c>
      <c r="C9" s="68">
        <v>39</v>
      </c>
      <c r="D9" s="74"/>
      <c r="E9" s="70"/>
      <c r="F9" s="81">
        <v>6</v>
      </c>
      <c r="G9" s="81">
        <v>4</v>
      </c>
      <c r="H9" s="72">
        <v>500000</v>
      </c>
      <c r="I9" s="85">
        <f>IF(E9&gt;0,#REF!,0)+IF(C10&gt;0,50000,0)+IF(C18&lt;0,50000,0)</f>
        <v>50000</v>
      </c>
      <c r="J9" s="90">
        <v>6</v>
      </c>
      <c r="K9" s="91"/>
      <c r="L9" s="92"/>
      <c r="M9" s="75"/>
      <c r="N9" s="72"/>
    </row>
    <row r="10" spans="1:14" s="73" customFormat="1" ht="18" customHeight="1">
      <c r="A10" s="120" t="s">
        <v>119</v>
      </c>
      <c r="B10" s="160">
        <v>20</v>
      </c>
      <c r="C10" s="71">
        <v>38</v>
      </c>
      <c r="D10" s="77"/>
      <c r="E10" s="70"/>
      <c r="F10" s="71">
        <v>7</v>
      </c>
      <c r="G10" s="71">
        <v>2</v>
      </c>
      <c r="H10" s="72">
        <v>300000</v>
      </c>
      <c r="I10" s="85">
        <f>IF(E10&gt;0,#REF!,0)+IF(C11&gt;0,50000,0)+IF(C19&lt;0,50000,0)</f>
        <v>50000</v>
      </c>
      <c r="J10" s="87">
        <v>7</v>
      </c>
      <c r="K10" s="91"/>
      <c r="L10" s="92"/>
      <c r="M10" s="75"/>
      <c r="N10" s="72"/>
    </row>
    <row r="11" spans="1:14" s="73" customFormat="1" ht="18" customHeight="1">
      <c r="A11" s="120" t="s">
        <v>116</v>
      </c>
      <c r="B11" s="160">
        <v>20</v>
      </c>
      <c r="C11" s="71">
        <v>38</v>
      </c>
      <c r="D11" s="69"/>
      <c r="E11" s="70"/>
      <c r="F11" s="71">
        <v>8</v>
      </c>
      <c r="G11" s="71">
        <v>2</v>
      </c>
      <c r="H11" s="72">
        <v>300000</v>
      </c>
      <c r="I11" s="85">
        <f>IF(E11&gt;0,#REF!,0)+IF(C12&gt;0,50000,0)+IF(C20&lt;0,50000,0)</f>
        <v>50000</v>
      </c>
      <c r="J11" s="90">
        <v>8</v>
      </c>
      <c r="K11" s="91"/>
      <c r="L11" s="92"/>
      <c r="M11" s="75"/>
      <c r="N11" s="72"/>
    </row>
    <row r="12" spans="1:14" s="73" customFormat="1" ht="18" customHeight="1">
      <c r="A12" s="120" t="s">
        <v>78</v>
      </c>
      <c r="B12" s="160">
        <v>21</v>
      </c>
      <c r="C12" s="71">
        <v>38</v>
      </c>
      <c r="D12" s="69"/>
      <c r="E12" s="70"/>
      <c r="F12" s="68"/>
      <c r="G12" s="71"/>
      <c r="H12" s="72">
        <f aca="true" t="shared" si="0" ref="H12:H27">I12</f>
        <v>50000</v>
      </c>
      <c r="I12" s="85">
        <f>IF(E12&gt;0,#REF!,0)+IF(C13&gt;0,50000,0)+IF(C13&lt;0,50000,0)</f>
        <v>50000</v>
      </c>
      <c r="J12" s="93" t="s">
        <v>3</v>
      </c>
      <c r="K12" s="91"/>
      <c r="L12" s="92"/>
      <c r="M12" s="75"/>
      <c r="N12" s="82">
        <v>5000000</v>
      </c>
    </row>
    <row r="13" spans="1:9" s="73" customFormat="1" ht="18" customHeight="1">
      <c r="A13" s="120" t="s">
        <v>75</v>
      </c>
      <c r="B13" s="160">
        <v>21</v>
      </c>
      <c r="C13" s="71">
        <v>38</v>
      </c>
      <c r="D13" s="77"/>
      <c r="E13" s="70"/>
      <c r="F13" s="71"/>
      <c r="G13" s="71"/>
      <c r="H13" s="72">
        <f t="shared" si="0"/>
        <v>50000</v>
      </c>
      <c r="I13" s="85">
        <f>IF(E13&gt;0,#REF!,0)+IF(C14&gt;0,50000,0)+IF(C14&lt;0,50000,0)</f>
        <v>50000</v>
      </c>
    </row>
    <row r="14" spans="1:9" s="73" customFormat="1" ht="18" customHeight="1">
      <c r="A14" s="120" t="s">
        <v>115</v>
      </c>
      <c r="B14" s="160">
        <v>22</v>
      </c>
      <c r="C14" s="71">
        <v>38</v>
      </c>
      <c r="D14" s="69"/>
      <c r="E14" s="70"/>
      <c r="F14" s="71"/>
      <c r="G14" s="71"/>
      <c r="H14" s="72">
        <f t="shared" si="0"/>
        <v>50000</v>
      </c>
      <c r="I14" s="85">
        <f>IF(E14&gt;0,#REF!,0)+IF(C15&gt;0,50000,0)+IF(C15&lt;0,50000,0)</f>
        <v>50000</v>
      </c>
    </row>
    <row r="15" spans="1:9" s="73" customFormat="1" ht="18" customHeight="1">
      <c r="A15" s="120" t="s">
        <v>61</v>
      </c>
      <c r="B15" s="160">
        <v>22</v>
      </c>
      <c r="C15" s="74">
        <v>38</v>
      </c>
      <c r="D15" s="77"/>
      <c r="E15" s="70"/>
      <c r="F15" s="71"/>
      <c r="G15" s="71"/>
      <c r="H15" s="72">
        <f t="shared" si="0"/>
        <v>50000</v>
      </c>
      <c r="I15" s="85">
        <f>IF(E15&gt;0,#REF!,0)+IF(C16&gt;0,50000,0)+IF(C16&lt;0,50000,0)</f>
        <v>50000</v>
      </c>
    </row>
    <row r="16" spans="1:9" s="73" customFormat="1" ht="18" customHeight="1">
      <c r="A16" s="120" t="s">
        <v>109</v>
      </c>
      <c r="B16" s="160">
        <v>23</v>
      </c>
      <c r="C16" s="71">
        <v>37</v>
      </c>
      <c r="D16" s="77"/>
      <c r="E16" s="70"/>
      <c r="F16" s="76"/>
      <c r="G16" s="76"/>
      <c r="H16" s="72">
        <f t="shared" si="0"/>
        <v>50000</v>
      </c>
      <c r="I16" s="85">
        <f>IF(E16&gt;0,#REF!,0)+IF(C17&gt;0,50000,0)+IF(C17&lt;0,50000,0)</f>
        <v>50000</v>
      </c>
    </row>
    <row r="17" spans="1:13" s="73" customFormat="1" ht="18" customHeight="1">
      <c r="A17" s="120" t="s">
        <v>118</v>
      </c>
      <c r="B17" s="160">
        <v>23</v>
      </c>
      <c r="C17" s="71">
        <v>37</v>
      </c>
      <c r="D17" s="69"/>
      <c r="E17" s="174"/>
      <c r="F17" s="76"/>
      <c r="G17" s="76"/>
      <c r="H17" s="72">
        <f t="shared" si="0"/>
        <v>50000</v>
      </c>
      <c r="I17" s="85">
        <f>IF(E17&gt;0,#REF!,0)+IF(C18&gt;0,50000,0)+IF(C18&lt;0,50000,0)</f>
        <v>50000</v>
      </c>
      <c r="J17" s="79"/>
      <c r="K17" s="79"/>
      <c r="L17" s="79"/>
      <c r="M17" s="80"/>
    </row>
    <row r="18" spans="1:13" s="73" customFormat="1" ht="18" customHeight="1">
      <c r="A18" s="120" t="s">
        <v>58</v>
      </c>
      <c r="B18" s="160">
        <v>19</v>
      </c>
      <c r="C18" s="74">
        <v>35</v>
      </c>
      <c r="D18" s="69"/>
      <c r="E18" s="174"/>
      <c r="F18" s="71"/>
      <c r="G18" s="71"/>
      <c r="H18" s="72">
        <f t="shared" si="0"/>
        <v>50000</v>
      </c>
      <c r="I18" s="85">
        <f>IF(E18&gt;0,#REF!,0)+IF(C19&gt;0,50000,0)+IF(C19&lt;0,50000,0)</f>
        <v>50000</v>
      </c>
      <c r="J18" s="80"/>
      <c r="K18" s="80"/>
      <c r="L18" s="80"/>
      <c r="M18" s="80"/>
    </row>
    <row r="19" spans="1:13" s="73" customFormat="1" ht="18" customHeight="1">
      <c r="A19" s="120" t="s">
        <v>59</v>
      </c>
      <c r="B19" s="160">
        <v>19</v>
      </c>
      <c r="C19" s="71">
        <v>35</v>
      </c>
      <c r="D19" s="69"/>
      <c r="E19" s="174"/>
      <c r="F19" s="71"/>
      <c r="G19" s="71"/>
      <c r="H19" s="72">
        <f t="shared" si="0"/>
        <v>50000</v>
      </c>
      <c r="I19" s="85">
        <f>IF(E19&gt;0,#REF!,0)+IF(C20&gt;0,50000,0)+IF(C20&lt;0,50000,0)</f>
        <v>50000</v>
      </c>
      <c r="J19" s="80"/>
      <c r="K19" s="80"/>
      <c r="L19" s="80"/>
      <c r="M19" s="80"/>
    </row>
    <row r="20" spans="1:9" s="4" customFormat="1" ht="18" customHeight="1">
      <c r="A20" s="120" t="s">
        <v>71</v>
      </c>
      <c r="B20" s="160">
        <v>10</v>
      </c>
      <c r="C20" s="74">
        <v>31</v>
      </c>
      <c r="D20" s="69"/>
      <c r="E20" s="70"/>
      <c r="F20" s="76"/>
      <c r="G20" s="76"/>
      <c r="H20" s="72">
        <f t="shared" si="0"/>
        <v>50000</v>
      </c>
      <c r="I20" s="85">
        <f>IF(E20&gt;0,#REF!,0)+IF(C21&gt;0,50000,0)+IF(C21&lt;0,50000,0)</f>
        <v>50000</v>
      </c>
    </row>
    <row r="21" spans="1:9" s="4" customFormat="1" ht="18" customHeight="1">
      <c r="A21" s="120" t="s">
        <v>70</v>
      </c>
      <c r="B21" s="160">
        <v>10</v>
      </c>
      <c r="C21" s="71">
        <v>31</v>
      </c>
      <c r="D21" s="69"/>
      <c r="E21" s="70"/>
      <c r="F21" s="76"/>
      <c r="G21" s="76"/>
      <c r="H21" s="72">
        <f t="shared" si="0"/>
        <v>50000</v>
      </c>
      <c r="I21" s="85">
        <f>IF(E21&gt;0,#REF!,0)+IF(C22&gt;0,50000,0)+IF(C22&lt;0,50000,0)</f>
        <v>50000</v>
      </c>
    </row>
    <row r="22" spans="1:9" s="4" customFormat="1" ht="18" customHeight="1">
      <c r="A22" s="120" t="s">
        <v>111</v>
      </c>
      <c r="B22" s="176">
        <v>16</v>
      </c>
      <c r="C22" s="71">
        <v>28</v>
      </c>
      <c r="D22" s="69"/>
      <c r="E22" s="70"/>
      <c r="F22" s="76"/>
      <c r="G22" s="76"/>
      <c r="H22" s="72">
        <f t="shared" si="0"/>
        <v>50000</v>
      </c>
      <c r="I22" s="85">
        <f>IF(E22&gt;0,#REF!,0)+IF(C23&gt;0,50000,0)+IF(C23&lt;0,50000,0)</f>
        <v>50000</v>
      </c>
    </row>
    <row r="23" spans="1:9" s="4" customFormat="1" ht="18" customHeight="1">
      <c r="A23" s="120" t="s">
        <v>74</v>
      </c>
      <c r="B23" s="160">
        <v>16</v>
      </c>
      <c r="C23" s="76">
        <v>28</v>
      </c>
      <c r="D23" s="77"/>
      <c r="E23" s="70"/>
      <c r="F23" s="76"/>
      <c r="G23" s="76"/>
      <c r="H23" s="72">
        <v>50000</v>
      </c>
      <c r="I23" s="85">
        <f>IF(E23&gt;0,#REF!,0)+IF(C24&gt;0,50000,0)+IF(C24&lt;0,50000,0)</f>
        <v>0</v>
      </c>
    </row>
    <row r="24" spans="1:9" s="4" customFormat="1" ht="18" customHeight="1">
      <c r="A24" s="120"/>
      <c r="B24" s="176"/>
      <c r="C24" s="71"/>
      <c r="D24" s="77"/>
      <c r="E24" s="70"/>
      <c r="F24" s="76"/>
      <c r="G24" s="76"/>
      <c r="H24" s="72">
        <f t="shared" si="0"/>
        <v>0</v>
      </c>
      <c r="I24" s="85">
        <f>IF(E24&gt;0,#REF!,0)+IF(C24&gt;0,50000,0)+IF(C24&lt;0,50000,0)</f>
        <v>0</v>
      </c>
    </row>
    <row r="25" spans="1:9" s="4" customFormat="1" ht="18" customHeight="1">
      <c r="A25" s="120"/>
      <c r="B25" s="176"/>
      <c r="C25" s="74"/>
      <c r="D25" s="69"/>
      <c r="E25" s="174"/>
      <c r="F25" s="76"/>
      <c r="G25" s="76"/>
      <c r="H25" s="72">
        <f t="shared" si="0"/>
        <v>0</v>
      </c>
      <c r="I25" s="85">
        <f>IF(E25&gt;0,#REF!,0)+IF(C25&gt;0,50000,0)+IF(C25&lt;0,50000,0)</f>
        <v>0</v>
      </c>
    </row>
    <row r="26" spans="1:9" s="4" customFormat="1" ht="18" customHeight="1">
      <c r="A26" s="120"/>
      <c r="B26" s="176"/>
      <c r="C26" s="74"/>
      <c r="D26" s="77"/>
      <c r="E26" s="174"/>
      <c r="F26" s="71"/>
      <c r="G26" s="71"/>
      <c r="H26" s="72">
        <f t="shared" si="0"/>
        <v>0</v>
      </c>
      <c r="I26" s="85">
        <f>IF(E26&gt;0,#REF!,0)+IF(C26&gt;0,50000,0)+IF(C26&lt;0,50000,0)</f>
        <v>0</v>
      </c>
    </row>
    <row r="27" spans="1:9" s="4" customFormat="1" ht="18" customHeight="1">
      <c r="A27" s="121"/>
      <c r="B27" s="67"/>
      <c r="C27" s="71"/>
      <c r="D27" s="69"/>
      <c r="E27" s="70"/>
      <c r="F27" s="71"/>
      <c r="G27" s="71"/>
      <c r="H27" s="72">
        <f t="shared" si="0"/>
        <v>0</v>
      </c>
      <c r="I27" s="85">
        <f>IF(E27&gt;0,#REF!,0)+IF(C27&gt;0,50000,0)+IF(C27&lt;0,50000,0)</f>
        <v>0</v>
      </c>
    </row>
    <row r="28" spans="1:9" ht="24" customHeight="1" thickBot="1">
      <c r="A28" s="1"/>
      <c r="B28" s="2"/>
      <c r="C28" s="3"/>
      <c r="D28" s="177">
        <f>SUM(D4:D27)</f>
        <v>0</v>
      </c>
      <c r="E28" s="3"/>
      <c r="F28" s="2"/>
      <c r="G28" s="178">
        <f>SUM(G4:G27)</f>
        <v>34</v>
      </c>
      <c r="H28" s="178">
        <f>SUM(H4:H27)</f>
        <v>4725000</v>
      </c>
      <c r="I28" s="86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4330708661417323" right="0.4330708661417323" top="0.5511811023622047" bottom="0.5511811023622047" header="0.31496062992125984" footer="0.31496062992125984"/>
  <pageSetup fitToHeight="1" fitToWidth="1" orientation="landscape" paperSize="9" scale="88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4" customFormat="1" ht="43.5" customHeight="1">
      <c r="B1" s="374" t="s">
        <v>97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2:14" s="4" customFormat="1" ht="29.25" customHeight="1">
      <c r="B2" s="375" t="s">
        <v>132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52</v>
      </c>
      <c r="F3" s="63" t="s">
        <v>6</v>
      </c>
      <c r="G3" s="64" t="s">
        <v>5</v>
      </c>
      <c r="H3" s="65" t="s">
        <v>51</v>
      </c>
      <c r="I3" s="66"/>
      <c r="J3" s="138" t="s">
        <v>6</v>
      </c>
      <c r="K3" s="134"/>
      <c r="L3" s="135"/>
      <c r="M3" s="136" t="s">
        <v>5</v>
      </c>
      <c r="N3" s="137" t="s">
        <v>4</v>
      </c>
    </row>
    <row r="4" spans="1:14" s="73" customFormat="1" ht="18" customHeight="1">
      <c r="A4" s="120" t="s">
        <v>65</v>
      </c>
      <c r="B4" s="160">
        <v>10.8</v>
      </c>
      <c r="C4" s="71">
        <v>34</v>
      </c>
      <c r="D4" s="69">
        <v>31</v>
      </c>
      <c r="E4" s="70"/>
      <c r="F4" s="71">
        <v>1</v>
      </c>
      <c r="G4" s="68">
        <v>10</v>
      </c>
      <c r="H4" s="72">
        <f aca="true" t="shared" si="0" ref="H4:H11">N4+I4</f>
        <v>1550000</v>
      </c>
      <c r="I4" s="85">
        <f aca="true" t="shared" si="1" ref="I4:I11">IF(E4&gt;0,$N$13,0)+IF(C4&gt;0,50000,0)+IF(C12&lt;0,50000,0)</f>
        <v>50000</v>
      </c>
      <c r="J4" s="87" t="s">
        <v>8</v>
      </c>
      <c r="K4" s="88"/>
      <c r="L4" s="89"/>
      <c r="M4" s="78">
        <v>10</v>
      </c>
      <c r="N4" s="72">
        <f>N12*25%</f>
        <v>1500000</v>
      </c>
    </row>
    <row r="5" spans="1:14" s="73" customFormat="1" ht="18" customHeight="1">
      <c r="A5" s="120" t="s">
        <v>78</v>
      </c>
      <c r="B5" s="160">
        <v>13.1</v>
      </c>
      <c r="C5" s="71">
        <v>34</v>
      </c>
      <c r="D5" s="69">
        <v>35</v>
      </c>
      <c r="E5" s="174"/>
      <c r="F5" s="71">
        <v>2</v>
      </c>
      <c r="G5" s="71">
        <v>8</v>
      </c>
      <c r="H5" s="72">
        <f t="shared" si="0"/>
        <v>1250000</v>
      </c>
      <c r="I5" s="85">
        <f t="shared" si="1"/>
        <v>50000</v>
      </c>
      <c r="J5" s="90" t="s">
        <v>9</v>
      </c>
      <c r="K5" s="91"/>
      <c r="L5" s="92"/>
      <c r="M5" s="75">
        <v>8</v>
      </c>
      <c r="N5" s="72">
        <f>N12*20%</f>
        <v>1200000</v>
      </c>
    </row>
    <row r="6" spans="1:14" s="73" customFormat="1" ht="18" customHeight="1">
      <c r="A6" s="120" t="s">
        <v>111</v>
      </c>
      <c r="B6" s="160">
        <v>14.2</v>
      </c>
      <c r="C6" s="71">
        <v>34</v>
      </c>
      <c r="D6" s="69">
        <v>28</v>
      </c>
      <c r="E6" s="174"/>
      <c r="F6" s="76">
        <v>3</v>
      </c>
      <c r="G6" s="76">
        <v>6</v>
      </c>
      <c r="H6" s="72">
        <f t="shared" si="0"/>
        <v>950000</v>
      </c>
      <c r="I6" s="85">
        <f t="shared" si="1"/>
        <v>50000</v>
      </c>
      <c r="J6" s="90" t="s">
        <v>10</v>
      </c>
      <c r="K6" s="91"/>
      <c r="L6" s="92"/>
      <c r="M6" s="75">
        <v>6</v>
      </c>
      <c r="N6" s="72">
        <f>N12*15%</f>
        <v>900000</v>
      </c>
    </row>
    <row r="7" spans="1:18" s="73" customFormat="1" ht="18" customHeight="1">
      <c r="A7" s="120" t="s">
        <v>73</v>
      </c>
      <c r="B7" s="160">
        <v>13.6</v>
      </c>
      <c r="C7" s="76">
        <v>33</v>
      </c>
      <c r="D7" s="69">
        <v>31</v>
      </c>
      <c r="E7" s="174"/>
      <c r="F7" s="71">
        <v>4</v>
      </c>
      <c r="G7" s="71">
        <v>5</v>
      </c>
      <c r="H7" s="72">
        <f t="shared" si="0"/>
        <v>770000</v>
      </c>
      <c r="I7" s="85">
        <f t="shared" si="1"/>
        <v>50000</v>
      </c>
      <c r="J7" s="90" t="s">
        <v>11</v>
      </c>
      <c r="K7" s="91"/>
      <c r="L7" s="92"/>
      <c r="M7" s="75">
        <v>5</v>
      </c>
      <c r="N7" s="72">
        <f>N12*12%</f>
        <v>720000</v>
      </c>
      <c r="O7" s="79"/>
      <c r="P7" s="79"/>
      <c r="Q7" s="79"/>
      <c r="R7" s="80"/>
    </row>
    <row r="8" spans="1:14" s="73" customFormat="1" ht="18" customHeight="1">
      <c r="A8" s="120" t="s">
        <v>75</v>
      </c>
      <c r="B8" s="160">
        <v>16.6</v>
      </c>
      <c r="C8" s="71">
        <v>33</v>
      </c>
      <c r="D8" s="69">
        <v>32</v>
      </c>
      <c r="E8" s="70"/>
      <c r="F8" s="71">
        <v>5</v>
      </c>
      <c r="G8" s="71">
        <v>4</v>
      </c>
      <c r="H8" s="72">
        <f t="shared" si="0"/>
        <v>650000</v>
      </c>
      <c r="I8" s="85">
        <f t="shared" si="1"/>
        <v>50000</v>
      </c>
      <c r="J8" s="90" t="s">
        <v>12</v>
      </c>
      <c r="K8" s="91"/>
      <c r="L8" s="92"/>
      <c r="M8" s="75">
        <v>4</v>
      </c>
      <c r="N8" s="72">
        <f>N12*10%</f>
        <v>600000</v>
      </c>
    </row>
    <row r="9" spans="1:14" s="73" customFormat="1" ht="18" customHeight="1">
      <c r="A9" s="120" t="s">
        <v>77</v>
      </c>
      <c r="B9" s="160">
        <v>21.6</v>
      </c>
      <c r="C9" s="74">
        <v>33</v>
      </c>
      <c r="D9" s="69">
        <v>29</v>
      </c>
      <c r="E9" s="70"/>
      <c r="F9" s="81">
        <v>6</v>
      </c>
      <c r="G9" s="81">
        <v>3</v>
      </c>
      <c r="H9" s="72">
        <f t="shared" si="0"/>
        <v>530000</v>
      </c>
      <c r="I9" s="85">
        <f t="shared" si="1"/>
        <v>50000</v>
      </c>
      <c r="J9" s="90" t="s">
        <v>13</v>
      </c>
      <c r="K9" s="91"/>
      <c r="L9" s="92"/>
      <c r="M9" s="75">
        <v>3</v>
      </c>
      <c r="N9" s="72">
        <f>N12*8%</f>
        <v>480000</v>
      </c>
    </row>
    <row r="10" spans="1:14" s="73" customFormat="1" ht="18" customHeight="1">
      <c r="A10" s="120" t="s">
        <v>61</v>
      </c>
      <c r="B10" s="160">
        <v>22.1</v>
      </c>
      <c r="C10" s="71">
        <v>32</v>
      </c>
      <c r="D10" s="69">
        <v>38</v>
      </c>
      <c r="E10" s="70"/>
      <c r="F10" s="71">
        <v>7</v>
      </c>
      <c r="G10" s="71">
        <v>2</v>
      </c>
      <c r="H10" s="72">
        <f t="shared" si="0"/>
        <v>410000</v>
      </c>
      <c r="I10" s="85">
        <f t="shared" si="1"/>
        <v>50000</v>
      </c>
      <c r="J10" s="90" t="s">
        <v>14</v>
      </c>
      <c r="K10" s="91"/>
      <c r="L10" s="92"/>
      <c r="M10" s="75">
        <v>2</v>
      </c>
      <c r="N10" s="72">
        <f>N12*6%</f>
        <v>360000</v>
      </c>
    </row>
    <row r="11" spans="1:14" s="73" customFormat="1" ht="18" customHeight="1">
      <c r="A11" s="120" t="s">
        <v>109</v>
      </c>
      <c r="B11" s="160">
        <v>14.4</v>
      </c>
      <c r="C11" s="71">
        <v>31</v>
      </c>
      <c r="D11" s="69">
        <v>29</v>
      </c>
      <c r="E11" s="70"/>
      <c r="F11" s="71">
        <v>8</v>
      </c>
      <c r="G11" s="71">
        <v>1</v>
      </c>
      <c r="H11" s="72">
        <f t="shared" si="0"/>
        <v>290000</v>
      </c>
      <c r="I11" s="85">
        <f t="shared" si="1"/>
        <v>50000</v>
      </c>
      <c r="J11" s="90" t="s">
        <v>15</v>
      </c>
      <c r="K11" s="91"/>
      <c r="L11" s="92"/>
      <c r="M11" s="75">
        <v>1</v>
      </c>
      <c r="N11" s="72">
        <f>N12*4%</f>
        <v>240000</v>
      </c>
    </row>
    <row r="12" spans="1:14" s="73" customFormat="1" ht="18" customHeight="1">
      <c r="A12" s="120" t="s">
        <v>119</v>
      </c>
      <c r="B12" s="160">
        <v>11.1</v>
      </c>
      <c r="C12" s="74">
        <v>29</v>
      </c>
      <c r="D12" s="77">
        <v>37</v>
      </c>
      <c r="E12" s="70"/>
      <c r="F12" s="68"/>
      <c r="G12" s="71"/>
      <c r="H12" s="72">
        <f aca="true" t="shared" si="2" ref="H12:H27">I12</f>
        <v>50000</v>
      </c>
      <c r="I12" s="85">
        <f aca="true" t="shared" si="3" ref="I12:I27">IF(E12&gt;0,$N$13,0)+IF(C12&gt;0,50000,0)+IF(C12&lt;0,50000,0)</f>
        <v>50000</v>
      </c>
      <c r="J12" s="93" t="s">
        <v>3</v>
      </c>
      <c r="K12" s="91"/>
      <c r="L12" s="92"/>
      <c r="M12" s="75"/>
      <c r="N12" s="82">
        <v>6000000</v>
      </c>
    </row>
    <row r="13" spans="1:14" s="73" customFormat="1" ht="18" customHeight="1">
      <c r="A13" s="120" t="s">
        <v>60</v>
      </c>
      <c r="B13" s="160">
        <v>14.4</v>
      </c>
      <c r="C13" s="71">
        <v>29</v>
      </c>
      <c r="D13" s="69">
        <v>33</v>
      </c>
      <c r="E13" s="70"/>
      <c r="F13" s="71"/>
      <c r="G13" s="71"/>
      <c r="H13" s="72">
        <f t="shared" si="2"/>
        <v>50000</v>
      </c>
      <c r="I13" s="85">
        <f t="shared" si="3"/>
        <v>50000</v>
      </c>
      <c r="J13" s="122" t="s">
        <v>62</v>
      </c>
      <c r="K13" s="123"/>
      <c r="L13" s="124"/>
      <c r="M13" s="125">
        <v>1</v>
      </c>
      <c r="N13" s="126">
        <f>N10</f>
        <v>360000</v>
      </c>
    </row>
    <row r="14" spans="1:14" s="73" customFormat="1" ht="18" customHeight="1">
      <c r="A14" s="120" t="s">
        <v>76</v>
      </c>
      <c r="B14" s="160">
        <v>12</v>
      </c>
      <c r="C14" s="71">
        <v>27</v>
      </c>
      <c r="D14" s="77">
        <v>37</v>
      </c>
      <c r="E14" s="70"/>
      <c r="F14" s="71"/>
      <c r="G14" s="71"/>
      <c r="H14" s="72">
        <f t="shared" si="2"/>
        <v>50000</v>
      </c>
      <c r="I14" s="85">
        <f t="shared" si="3"/>
        <v>50000</v>
      </c>
      <c r="J14" s="131"/>
      <c r="K14" s="123"/>
      <c r="L14" s="123"/>
      <c r="M14" s="132"/>
      <c r="N14" s="133"/>
    </row>
    <row r="15" spans="1:14" s="73" customFormat="1" ht="18" customHeight="1">
      <c r="A15" s="120" t="s">
        <v>110</v>
      </c>
      <c r="B15" s="160">
        <v>15.1</v>
      </c>
      <c r="C15" s="71">
        <v>26</v>
      </c>
      <c r="D15" s="69">
        <v>39</v>
      </c>
      <c r="E15" s="70"/>
      <c r="F15" s="71"/>
      <c r="G15" s="71"/>
      <c r="H15" s="72">
        <f t="shared" si="2"/>
        <v>50000</v>
      </c>
      <c r="I15" s="85">
        <f t="shared" si="3"/>
        <v>50000</v>
      </c>
      <c r="J15" s="127"/>
      <c r="K15" s="128"/>
      <c r="L15" s="128"/>
      <c r="M15" s="129"/>
      <c r="N15" s="130"/>
    </row>
    <row r="16" spans="1:9" s="73" customFormat="1" ht="18" customHeight="1">
      <c r="A16" s="120" t="s">
        <v>59</v>
      </c>
      <c r="B16" s="160">
        <v>18.6</v>
      </c>
      <c r="C16" s="71">
        <v>25</v>
      </c>
      <c r="D16" s="69">
        <v>40</v>
      </c>
      <c r="E16" s="70"/>
      <c r="F16" s="76"/>
      <c r="G16" s="76"/>
      <c r="H16" s="72">
        <f t="shared" si="2"/>
        <v>50000</v>
      </c>
      <c r="I16" s="85">
        <f t="shared" si="3"/>
        <v>50000</v>
      </c>
    </row>
    <row r="17" spans="1:13" s="73" customFormat="1" ht="18" customHeight="1">
      <c r="A17" s="120" t="s">
        <v>115</v>
      </c>
      <c r="B17" s="160">
        <v>14.3</v>
      </c>
      <c r="C17" s="68">
        <v>24</v>
      </c>
      <c r="D17" s="77">
        <v>35</v>
      </c>
      <c r="E17" s="174">
        <v>3.36</v>
      </c>
      <c r="F17" s="76"/>
      <c r="G17" s="76"/>
      <c r="H17" s="72">
        <f t="shared" si="2"/>
        <v>410000</v>
      </c>
      <c r="I17" s="85">
        <f t="shared" si="3"/>
        <v>410000</v>
      </c>
      <c r="J17" s="79"/>
      <c r="K17" s="79"/>
      <c r="L17" s="79"/>
      <c r="M17" s="80"/>
    </row>
    <row r="18" spans="1:13" s="73" customFormat="1" ht="18" customHeight="1">
      <c r="A18" s="120" t="s">
        <v>66</v>
      </c>
      <c r="B18" s="160">
        <v>24.8</v>
      </c>
      <c r="C18" s="74">
        <v>21</v>
      </c>
      <c r="D18" s="77">
        <v>31</v>
      </c>
      <c r="E18" s="174"/>
      <c r="F18" s="71"/>
      <c r="G18" s="71"/>
      <c r="H18" s="72">
        <f t="shared" si="2"/>
        <v>50000</v>
      </c>
      <c r="I18" s="85">
        <f t="shared" si="3"/>
        <v>50000</v>
      </c>
      <c r="J18" s="80"/>
      <c r="K18" s="80"/>
      <c r="L18" s="80"/>
      <c r="M18" s="80"/>
    </row>
    <row r="19" spans="1:13" s="73" customFormat="1" ht="18" customHeight="1">
      <c r="A19" s="120" t="s">
        <v>309</v>
      </c>
      <c r="B19" s="160">
        <v>6.3</v>
      </c>
      <c r="C19" s="74">
        <v>11</v>
      </c>
      <c r="D19" s="69">
        <v>26</v>
      </c>
      <c r="E19" s="174"/>
      <c r="F19" s="71"/>
      <c r="G19" s="71"/>
      <c r="H19" s="72">
        <f t="shared" si="2"/>
        <v>50000</v>
      </c>
      <c r="I19" s="85">
        <f t="shared" si="3"/>
        <v>50000</v>
      </c>
      <c r="J19" s="80"/>
      <c r="K19" s="80"/>
      <c r="L19" s="80"/>
      <c r="M19" s="80"/>
    </row>
    <row r="20" spans="1:9" s="4" customFormat="1" ht="18" customHeight="1">
      <c r="A20" s="120"/>
      <c r="B20" s="160"/>
      <c r="C20" s="74"/>
      <c r="D20" s="69"/>
      <c r="E20" s="70"/>
      <c r="F20" s="76"/>
      <c r="G20" s="76"/>
      <c r="H20" s="72">
        <f t="shared" si="2"/>
        <v>0</v>
      </c>
      <c r="I20" s="85">
        <f t="shared" si="3"/>
        <v>0</v>
      </c>
    </row>
    <row r="21" spans="1:9" s="4" customFormat="1" ht="18" customHeight="1">
      <c r="A21" s="120"/>
      <c r="B21" s="160"/>
      <c r="C21" s="77"/>
      <c r="D21" s="69"/>
      <c r="E21" s="70"/>
      <c r="F21" s="76"/>
      <c r="G21" s="76"/>
      <c r="H21" s="72">
        <f t="shared" si="2"/>
        <v>0</v>
      </c>
      <c r="I21" s="85">
        <f t="shared" si="3"/>
        <v>0</v>
      </c>
    </row>
    <row r="22" spans="1:9" s="4" customFormat="1" ht="18" customHeight="1">
      <c r="A22" s="120"/>
      <c r="B22" s="160"/>
      <c r="C22" s="71"/>
      <c r="D22" s="77"/>
      <c r="E22" s="70"/>
      <c r="F22" s="76"/>
      <c r="G22" s="76"/>
      <c r="H22" s="72">
        <f t="shared" si="2"/>
        <v>0</v>
      </c>
      <c r="I22" s="85">
        <f t="shared" si="3"/>
        <v>0</v>
      </c>
    </row>
    <row r="23" spans="1:9" s="4" customFormat="1" ht="18" customHeight="1">
      <c r="A23" s="120"/>
      <c r="B23" s="160"/>
      <c r="C23" s="74"/>
      <c r="D23" s="69"/>
      <c r="E23" s="70"/>
      <c r="F23" s="76"/>
      <c r="G23" s="76"/>
      <c r="H23" s="72">
        <f t="shared" si="2"/>
        <v>0</v>
      </c>
      <c r="I23" s="85">
        <f t="shared" si="3"/>
        <v>0</v>
      </c>
    </row>
    <row r="24" spans="1:9" s="4" customFormat="1" ht="18" customHeight="1">
      <c r="A24" s="120"/>
      <c r="B24" s="160"/>
      <c r="C24" s="71"/>
      <c r="D24" s="77"/>
      <c r="E24" s="70"/>
      <c r="F24" s="76"/>
      <c r="G24" s="76"/>
      <c r="H24" s="72">
        <f t="shared" si="2"/>
        <v>0</v>
      </c>
      <c r="I24" s="85">
        <f t="shared" si="3"/>
        <v>0</v>
      </c>
    </row>
    <row r="25" spans="1:9" s="4" customFormat="1" ht="18" customHeight="1">
      <c r="A25" s="120"/>
      <c r="B25" s="160"/>
      <c r="C25" s="71"/>
      <c r="D25" s="74"/>
      <c r="E25" s="174"/>
      <c r="F25" s="76"/>
      <c r="G25" s="76"/>
      <c r="H25" s="72">
        <f t="shared" si="2"/>
        <v>0</v>
      </c>
      <c r="I25" s="85">
        <f t="shared" si="3"/>
        <v>0</v>
      </c>
    </row>
    <row r="26" spans="1:9" s="4" customFormat="1" ht="18" customHeight="1">
      <c r="A26" s="120"/>
      <c r="B26" s="160"/>
      <c r="C26" s="71"/>
      <c r="D26" s="77"/>
      <c r="E26" s="174"/>
      <c r="F26" s="71"/>
      <c r="G26" s="71"/>
      <c r="H26" s="72">
        <f t="shared" si="2"/>
        <v>0</v>
      </c>
      <c r="I26" s="85">
        <f t="shared" si="3"/>
        <v>0</v>
      </c>
    </row>
    <row r="27" spans="1:9" s="4" customFormat="1" ht="18" customHeight="1">
      <c r="A27" s="120"/>
      <c r="B27" s="160"/>
      <c r="C27" s="71"/>
      <c r="D27" s="77"/>
      <c r="E27" s="70"/>
      <c r="F27" s="71"/>
      <c r="G27" s="71"/>
      <c r="H27" s="72">
        <f t="shared" si="2"/>
        <v>0</v>
      </c>
      <c r="I27" s="85">
        <f t="shared" si="3"/>
        <v>0</v>
      </c>
    </row>
    <row r="28" spans="1:9" ht="24" customHeight="1" thickBot="1">
      <c r="A28" s="1"/>
      <c r="B28" s="2"/>
      <c r="C28" s="3"/>
      <c r="D28" s="177">
        <f>SUM(D4:D27)</f>
        <v>531</v>
      </c>
      <c r="E28" s="3"/>
      <c r="F28" s="2"/>
      <c r="G28" s="178">
        <f>SUM(G4:G27)</f>
        <v>39</v>
      </c>
      <c r="H28" s="178">
        <f>SUM(H4:H27)</f>
        <v>7160000</v>
      </c>
      <c r="I28" s="86"/>
    </row>
    <row r="29" ht="18.75" thickTop="1"/>
    <row r="30" ht="18">
      <c r="A30" s="120" t="s">
        <v>310</v>
      </c>
    </row>
    <row r="31" ht="18">
      <c r="A31" s="120"/>
    </row>
  </sheetData>
  <sheetProtection/>
  <mergeCells count="2">
    <mergeCell ref="B1:N1"/>
    <mergeCell ref="B2:N2"/>
  </mergeCells>
  <printOptions horizontalCentered="1" verticalCentered="1"/>
  <pageMargins left="0.4330708661417323" right="0.4330708661417323" top="0.5511811023622047" bottom="0.5511811023622047" header="0.31496062992125984" footer="0.31496062992125984"/>
  <pageSetup fitToHeight="1" fitToWidth="1" orientation="landscape" paperSize="9" scale="88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28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4" customFormat="1" ht="43.5" customHeight="1">
      <c r="B1" s="374" t="s">
        <v>96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2:14" s="4" customFormat="1" ht="29.25" customHeight="1">
      <c r="B2" s="375" t="s">
        <v>131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52</v>
      </c>
      <c r="F3" s="63" t="s">
        <v>6</v>
      </c>
      <c r="G3" s="64" t="s">
        <v>5</v>
      </c>
      <c r="H3" s="65" t="s">
        <v>51</v>
      </c>
      <c r="I3" s="66"/>
      <c r="J3" s="138" t="s">
        <v>6</v>
      </c>
      <c r="K3" s="134"/>
      <c r="L3" s="135"/>
      <c r="M3" s="136" t="s">
        <v>5</v>
      </c>
      <c r="N3" s="137" t="s">
        <v>4</v>
      </c>
    </row>
    <row r="4" spans="1:14" s="73" customFormat="1" ht="18" customHeight="1">
      <c r="A4" s="120" t="s">
        <v>59</v>
      </c>
      <c r="B4" s="160">
        <v>18.6</v>
      </c>
      <c r="C4" s="74">
        <v>43</v>
      </c>
      <c r="D4" s="77">
        <v>27</v>
      </c>
      <c r="E4" s="174"/>
      <c r="F4" s="71">
        <v>1</v>
      </c>
      <c r="G4" s="68">
        <v>10</v>
      </c>
      <c r="H4" s="72">
        <f aca="true" t="shared" si="0" ref="H4:H11">N4+I4</f>
        <v>1550000</v>
      </c>
      <c r="I4" s="85">
        <f aca="true" t="shared" si="1" ref="I4:I11">IF(E4&gt;0,$N$13,0)+IF(C4&gt;0,50000,0)+IF(C12&lt;0,50000,0)</f>
        <v>50000</v>
      </c>
      <c r="J4" s="87" t="s">
        <v>8</v>
      </c>
      <c r="K4" s="88"/>
      <c r="L4" s="89"/>
      <c r="M4" s="78">
        <v>10</v>
      </c>
      <c r="N4" s="72">
        <f>N12*25%</f>
        <v>1500000</v>
      </c>
    </row>
    <row r="5" spans="1:14" s="73" customFormat="1" ht="18" customHeight="1">
      <c r="A5" s="120" t="s">
        <v>58</v>
      </c>
      <c r="B5" s="160">
        <v>7.4</v>
      </c>
      <c r="C5" s="74">
        <v>38</v>
      </c>
      <c r="D5" s="69">
        <v>28</v>
      </c>
      <c r="E5" s="70"/>
      <c r="F5" s="71">
        <v>2</v>
      </c>
      <c r="G5" s="71">
        <v>8</v>
      </c>
      <c r="H5" s="72">
        <f t="shared" si="0"/>
        <v>1250000</v>
      </c>
      <c r="I5" s="85">
        <f t="shared" si="1"/>
        <v>50000</v>
      </c>
      <c r="J5" s="90" t="s">
        <v>9</v>
      </c>
      <c r="K5" s="91"/>
      <c r="L5" s="92"/>
      <c r="M5" s="75">
        <v>8</v>
      </c>
      <c r="N5" s="72">
        <f>N12*20%</f>
        <v>1200000</v>
      </c>
    </row>
    <row r="6" spans="1:14" s="73" customFormat="1" ht="18" customHeight="1">
      <c r="A6" s="120" t="s">
        <v>109</v>
      </c>
      <c r="B6" s="160">
        <v>15</v>
      </c>
      <c r="C6" s="74">
        <v>38</v>
      </c>
      <c r="D6" s="69">
        <v>30</v>
      </c>
      <c r="E6" s="70"/>
      <c r="F6" s="76">
        <v>3</v>
      </c>
      <c r="G6" s="76">
        <v>6</v>
      </c>
      <c r="H6" s="72">
        <f t="shared" si="0"/>
        <v>950000</v>
      </c>
      <c r="I6" s="85">
        <f t="shared" si="1"/>
        <v>50000</v>
      </c>
      <c r="J6" s="90" t="s">
        <v>10</v>
      </c>
      <c r="K6" s="91"/>
      <c r="L6" s="92"/>
      <c r="M6" s="75">
        <v>6</v>
      </c>
      <c r="N6" s="72">
        <f>N12*15%</f>
        <v>900000</v>
      </c>
    </row>
    <row r="7" spans="1:18" s="73" customFormat="1" ht="18" customHeight="1">
      <c r="A7" s="120" t="s">
        <v>77</v>
      </c>
      <c r="B7" s="160">
        <v>22.3</v>
      </c>
      <c r="C7" s="71">
        <v>38</v>
      </c>
      <c r="D7" s="69">
        <v>38</v>
      </c>
      <c r="E7" s="174"/>
      <c r="F7" s="71">
        <v>4</v>
      </c>
      <c r="G7" s="71">
        <v>5</v>
      </c>
      <c r="H7" s="72">
        <f t="shared" si="0"/>
        <v>770000</v>
      </c>
      <c r="I7" s="85">
        <f t="shared" si="1"/>
        <v>50000</v>
      </c>
      <c r="J7" s="90" t="s">
        <v>11</v>
      </c>
      <c r="K7" s="91"/>
      <c r="L7" s="92"/>
      <c r="M7" s="75">
        <v>5</v>
      </c>
      <c r="N7" s="72">
        <f>N12*12%</f>
        <v>720000</v>
      </c>
      <c r="O7" s="79"/>
      <c r="P7" s="79"/>
      <c r="Q7" s="79"/>
      <c r="R7" s="80"/>
    </row>
    <row r="8" spans="1:14" s="73" customFormat="1" ht="18" customHeight="1">
      <c r="A8" s="120" t="s">
        <v>119</v>
      </c>
      <c r="B8" s="160">
        <v>11.2</v>
      </c>
      <c r="C8" s="77">
        <v>37</v>
      </c>
      <c r="D8" s="69">
        <v>34</v>
      </c>
      <c r="E8" s="70">
        <v>3.36</v>
      </c>
      <c r="F8" s="71">
        <v>5</v>
      </c>
      <c r="G8" s="71">
        <v>4</v>
      </c>
      <c r="H8" s="72">
        <f t="shared" si="0"/>
        <v>1010000</v>
      </c>
      <c r="I8" s="85">
        <f t="shared" si="1"/>
        <v>410000</v>
      </c>
      <c r="J8" s="90" t="s">
        <v>12</v>
      </c>
      <c r="K8" s="91"/>
      <c r="L8" s="92"/>
      <c r="M8" s="75">
        <v>4</v>
      </c>
      <c r="N8" s="72">
        <f>N12*10%</f>
        <v>600000</v>
      </c>
    </row>
    <row r="9" spans="1:14" s="73" customFormat="1" ht="18" customHeight="1">
      <c r="A9" s="120" t="s">
        <v>117</v>
      </c>
      <c r="B9" s="160">
        <v>13.2</v>
      </c>
      <c r="C9" s="71">
        <v>35</v>
      </c>
      <c r="D9" s="69">
        <v>30</v>
      </c>
      <c r="E9" s="174"/>
      <c r="F9" s="81">
        <v>6</v>
      </c>
      <c r="G9" s="81">
        <v>3</v>
      </c>
      <c r="H9" s="72">
        <f t="shared" si="0"/>
        <v>530000</v>
      </c>
      <c r="I9" s="85">
        <f t="shared" si="1"/>
        <v>50000</v>
      </c>
      <c r="J9" s="90" t="s">
        <v>13</v>
      </c>
      <c r="K9" s="91"/>
      <c r="L9" s="92"/>
      <c r="M9" s="75">
        <v>3</v>
      </c>
      <c r="N9" s="72">
        <f>N12*8%</f>
        <v>480000</v>
      </c>
    </row>
    <row r="10" spans="1:14" s="73" customFormat="1" ht="18" customHeight="1">
      <c r="A10" s="120" t="s">
        <v>75</v>
      </c>
      <c r="B10" s="160">
        <v>16.6</v>
      </c>
      <c r="C10" s="71">
        <v>35</v>
      </c>
      <c r="D10" s="69">
        <v>31</v>
      </c>
      <c r="E10" s="70"/>
      <c r="F10" s="71">
        <v>7</v>
      </c>
      <c r="G10" s="71">
        <v>2</v>
      </c>
      <c r="H10" s="72">
        <f t="shared" si="0"/>
        <v>410000</v>
      </c>
      <c r="I10" s="85">
        <f t="shared" si="1"/>
        <v>50000</v>
      </c>
      <c r="J10" s="90" t="s">
        <v>14</v>
      </c>
      <c r="K10" s="91"/>
      <c r="L10" s="92"/>
      <c r="M10" s="75">
        <v>2</v>
      </c>
      <c r="N10" s="72">
        <f>N12*6%</f>
        <v>360000</v>
      </c>
    </row>
    <row r="11" spans="1:14" s="73" customFormat="1" ht="18" customHeight="1">
      <c r="A11" s="120" t="s">
        <v>66</v>
      </c>
      <c r="B11" s="160">
        <v>24.8</v>
      </c>
      <c r="C11" s="71">
        <v>35</v>
      </c>
      <c r="D11" s="77">
        <v>36</v>
      </c>
      <c r="E11" s="70"/>
      <c r="F11" s="71">
        <v>8</v>
      </c>
      <c r="G11" s="71">
        <v>1</v>
      </c>
      <c r="H11" s="72">
        <f t="shared" si="0"/>
        <v>290000</v>
      </c>
      <c r="I11" s="85">
        <f t="shared" si="1"/>
        <v>50000</v>
      </c>
      <c r="J11" s="90" t="s">
        <v>15</v>
      </c>
      <c r="K11" s="91"/>
      <c r="L11" s="92"/>
      <c r="M11" s="75">
        <v>1</v>
      </c>
      <c r="N11" s="72">
        <f>N12*4%</f>
        <v>240000</v>
      </c>
    </row>
    <row r="12" spans="1:14" s="73" customFormat="1" ht="18" customHeight="1">
      <c r="A12" s="120" t="s">
        <v>111</v>
      </c>
      <c r="B12" s="160">
        <v>14</v>
      </c>
      <c r="C12" s="71">
        <v>33</v>
      </c>
      <c r="D12" s="69">
        <v>32</v>
      </c>
      <c r="E12" s="174"/>
      <c r="F12" s="68"/>
      <c r="G12" s="71"/>
      <c r="H12" s="72">
        <f aca="true" t="shared" si="2" ref="H12:H27">I12</f>
        <v>50000</v>
      </c>
      <c r="I12" s="85">
        <f aca="true" t="shared" si="3" ref="I12:I27">IF(E12&gt;0,$N$13,0)+IF(C12&gt;0,50000,0)+IF(C12&lt;0,50000,0)</f>
        <v>50000</v>
      </c>
      <c r="J12" s="93" t="s">
        <v>3</v>
      </c>
      <c r="K12" s="91"/>
      <c r="L12" s="92"/>
      <c r="M12" s="75"/>
      <c r="N12" s="82">
        <v>6000000</v>
      </c>
    </row>
    <row r="13" spans="1:14" s="73" customFormat="1" ht="18" customHeight="1">
      <c r="A13" s="120" t="s">
        <v>76</v>
      </c>
      <c r="B13" s="160">
        <v>12.2</v>
      </c>
      <c r="C13" s="71">
        <v>32</v>
      </c>
      <c r="D13" s="77">
        <v>32</v>
      </c>
      <c r="E13" s="70"/>
      <c r="F13" s="71"/>
      <c r="G13" s="71"/>
      <c r="H13" s="72">
        <f t="shared" si="2"/>
        <v>50000</v>
      </c>
      <c r="I13" s="85">
        <f t="shared" si="3"/>
        <v>50000</v>
      </c>
      <c r="J13" s="122" t="s">
        <v>62</v>
      </c>
      <c r="K13" s="123"/>
      <c r="L13" s="124"/>
      <c r="M13" s="125">
        <v>1</v>
      </c>
      <c r="N13" s="126">
        <f>N10</f>
        <v>360000</v>
      </c>
    </row>
    <row r="14" spans="1:14" s="73" customFormat="1" ht="18" customHeight="1">
      <c r="A14" s="120" t="s">
        <v>115</v>
      </c>
      <c r="B14" s="160">
        <v>14.3</v>
      </c>
      <c r="C14" s="68">
        <v>32</v>
      </c>
      <c r="D14" s="77">
        <v>34</v>
      </c>
      <c r="E14" s="70"/>
      <c r="F14" s="71"/>
      <c r="G14" s="71"/>
      <c r="H14" s="72">
        <f t="shared" si="2"/>
        <v>50000</v>
      </c>
      <c r="I14" s="85">
        <f t="shared" si="3"/>
        <v>50000</v>
      </c>
      <c r="J14" s="131"/>
      <c r="K14" s="123"/>
      <c r="L14" s="123"/>
      <c r="M14" s="132"/>
      <c r="N14" s="133"/>
    </row>
    <row r="15" spans="1:14" s="73" customFormat="1" ht="18" customHeight="1">
      <c r="A15" s="120" t="s">
        <v>110</v>
      </c>
      <c r="B15" s="160">
        <v>15.1</v>
      </c>
      <c r="C15" s="71">
        <v>31</v>
      </c>
      <c r="D15" s="77">
        <v>34</v>
      </c>
      <c r="E15" s="70"/>
      <c r="F15" s="71"/>
      <c r="G15" s="71"/>
      <c r="H15" s="72">
        <f t="shared" si="2"/>
        <v>50000</v>
      </c>
      <c r="I15" s="85">
        <f t="shared" si="3"/>
        <v>50000</v>
      </c>
      <c r="J15" s="127"/>
      <c r="K15" s="128"/>
      <c r="L15" s="128"/>
      <c r="M15" s="129"/>
      <c r="N15" s="130"/>
    </row>
    <row r="16" spans="1:9" s="73" customFormat="1" ht="18" customHeight="1">
      <c r="A16" s="120" t="s">
        <v>78</v>
      </c>
      <c r="B16" s="160">
        <v>12.9</v>
      </c>
      <c r="C16" s="71">
        <v>30</v>
      </c>
      <c r="D16" s="77">
        <v>36</v>
      </c>
      <c r="E16" s="70"/>
      <c r="F16" s="76"/>
      <c r="G16" s="76"/>
      <c r="H16" s="72">
        <f t="shared" si="2"/>
        <v>50000</v>
      </c>
      <c r="I16" s="85">
        <f t="shared" si="3"/>
        <v>50000</v>
      </c>
    </row>
    <row r="17" spans="1:18" s="73" customFormat="1" ht="18" customHeight="1">
      <c r="A17" s="120" t="s">
        <v>65</v>
      </c>
      <c r="B17" s="160">
        <v>10.5</v>
      </c>
      <c r="C17" s="71">
        <v>27</v>
      </c>
      <c r="D17" s="69">
        <v>38</v>
      </c>
      <c r="E17" s="70"/>
      <c r="F17" s="76"/>
      <c r="G17" s="76"/>
      <c r="H17" s="72">
        <f t="shared" si="2"/>
        <v>50000</v>
      </c>
      <c r="I17" s="85">
        <f t="shared" si="3"/>
        <v>50000</v>
      </c>
      <c r="O17" s="79"/>
      <c r="P17" s="79"/>
      <c r="Q17" s="79"/>
      <c r="R17" s="80"/>
    </row>
    <row r="18" spans="1:13" s="73" customFormat="1" ht="18" customHeight="1">
      <c r="A18" s="120"/>
      <c r="B18" s="160"/>
      <c r="C18" s="74"/>
      <c r="D18" s="69"/>
      <c r="E18" s="70"/>
      <c r="F18" s="71"/>
      <c r="G18" s="71"/>
      <c r="H18" s="72">
        <f t="shared" si="2"/>
        <v>0</v>
      </c>
      <c r="I18" s="85">
        <f t="shared" si="3"/>
        <v>0</v>
      </c>
      <c r="J18" s="80"/>
      <c r="K18" s="80"/>
      <c r="L18" s="80"/>
      <c r="M18" s="80"/>
    </row>
    <row r="19" spans="1:13" s="73" customFormat="1" ht="18" customHeight="1">
      <c r="A19" s="120"/>
      <c r="B19" s="160"/>
      <c r="C19" s="71"/>
      <c r="D19" s="69"/>
      <c r="E19" s="174"/>
      <c r="F19" s="71"/>
      <c r="G19" s="71"/>
      <c r="H19" s="72">
        <f t="shared" si="2"/>
        <v>0</v>
      </c>
      <c r="I19" s="85">
        <f t="shared" si="3"/>
        <v>0</v>
      </c>
      <c r="J19" s="80"/>
      <c r="K19" s="80"/>
      <c r="L19" s="80"/>
      <c r="M19" s="80"/>
    </row>
    <row r="20" spans="1:9" s="4" customFormat="1" ht="18" customHeight="1">
      <c r="A20" s="120"/>
      <c r="B20" s="160"/>
      <c r="C20" s="71"/>
      <c r="D20" s="69"/>
      <c r="E20" s="174"/>
      <c r="F20" s="76"/>
      <c r="G20" s="76"/>
      <c r="H20" s="72">
        <f t="shared" si="2"/>
        <v>0</v>
      </c>
      <c r="I20" s="85">
        <f t="shared" si="3"/>
        <v>0</v>
      </c>
    </row>
    <row r="21" spans="1:9" s="4" customFormat="1" ht="18" customHeight="1">
      <c r="A21" s="120"/>
      <c r="B21" s="160"/>
      <c r="C21" s="71"/>
      <c r="D21" s="74"/>
      <c r="E21" s="70"/>
      <c r="F21" s="76"/>
      <c r="G21" s="76"/>
      <c r="H21" s="72">
        <f t="shared" si="2"/>
        <v>0</v>
      </c>
      <c r="I21" s="85">
        <f t="shared" si="3"/>
        <v>0</v>
      </c>
    </row>
    <row r="22" spans="1:9" s="4" customFormat="1" ht="18" customHeight="1">
      <c r="A22" s="120"/>
      <c r="B22" s="160"/>
      <c r="C22" s="76"/>
      <c r="D22" s="69"/>
      <c r="E22" s="70"/>
      <c r="F22" s="76"/>
      <c r="G22" s="76"/>
      <c r="H22" s="72">
        <f t="shared" si="2"/>
        <v>0</v>
      </c>
      <c r="I22" s="85">
        <f t="shared" si="3"/>
        <v>0</v>
      </c>
    </row>
    <row r="23" spans="1:9" s="4" customFormat="1" ht="18" customHeight="1">
      <c r="A23" s="120"/>
      <c r="B23" s="160"/>
      <c r="C23" s="71"/>
      <c r="D23" s="69"/>
      <c r="E23" s="70"/>
      <c r="F23" s="76"/>
      <c r="G23" s="76"/>
      <c r="H23" s="72">
        <f t="shared" si="2"/>
        <v>0</v>
      </c>
      <c r="I23" s="85">
        <f t="shared" si="3"/>
        <v>0</v>
      </c>
    </row>
    <row r="24" spans="1:9" s="4" customFormat="1" ht="18" customHeight="1">
      <c r="A24" s="120"/>
      <c r="B24" s="176"/>
      <c r="C24" s="71"/>
      <c r="D24" s="77"/>
      <c r="E24" s="70"/>
      <c r="F24" s="76"/>
      <c r="G24" s="76"/>
      <c r="H24" s="72">
        <f t="shared" si="2"/>
        <v>0</v>
      </c>
      <c r="I24" s="85">
        <f t="shared" si="3"/>
        <v>0</v>
      </c>
    </row>
    <row r="25" spans="1:9" s="4" customFormat="1" ht="18" customHeight="1">
      <c r="A25" s="120"/>
      <c r="B25" s="176"/>
      <c r="C25" s="74"/>
      <c r="D25" s="69"/>
      <c r="E25" s="174"/>
      <c r="F25" s="76"/>
      <c r="G25" s="76"/>
      <c r="H25" s="72">
        <f t="shared" si="2"/>
        <v>0</v>
      </c>
      <c r="I25" s="85">
        <f t="shared" si="3"/>
        <v>0</v>
      </c>
    </row>
    <row r="26" spans="1:9" s="4" customFormat="1" ht="18" customHeight="1">
      <c r="A26" s="120"/>
      <c r="B26" s="176"/>
      <c r="C26" s="74"/>
      <c r="D26" s="77"/>
      <c r="E26" s="174"/>
      <c r="F26" s="71"/>
      <c r="G26" s="71"/>
      <c r="H26" s="72">
        <f t="shared" si="2"/>
        <v>0</v>
      </c>
      <c r="I26" s="85">
        <f t="shared" si="3"/>
        <v>0</v>
      </c>
    </row>
    <row r="27" spans="1:9" s="4" customFormat="1" ht="18" customHeight="1">
      <c r="A27" s="121"/>
      <c r="B27" s="67"/>
      <c r="C27" s="71"/>
      <c r="D27" s="69"/>
      <c r="E27" s="70"/>
      <c r="F27" s="71"/>
      <c r="G27" s="71"/>
      <c r="H27" s="72">
        <f t="shared" si="2"/>
        <v>0</v>
      </c>
      <c r="I27" s="85">
        <f t="shared" si="3"/>
        <v>0</v>
      </c>
    </row>
    <row r="28" spans="1:9" ht="24" customHeight="1" thickBot="1">
      <c r="A28" s="1"/>
      <c r="B28" s="2"/>
      <c r="C28" s="3"/>
      <c r="D28" s="177">
        <f>SUM(D4:D27)</f>
        <v>460</v>
      </c>
      <c r="E28" s="3"/>
      <c r="F28" s="2"/>
      <c r="G28" s="178">
        <f>SUM(G4:G27)</f>
        <v>39</v>
      </c>
      <c r="H28" s="178">
        <f>SUM(H4:H27)</f>
        <v>7060000</v>
      </c>
      <c r="I28" s="86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4330708661417323" right="0.4330708661417323" top="0.5511811023622047" bottom="0.5511811023622047" header="0.31496062992125984" footer="0.31496062992125984"/>
  <pageSetup fitToHeight="1" fitToWidth="1" orientation="landscape" paperSize="9" scale="88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28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4" customFormat="1" ht="43.5" customHeight="1">
      <c r="B1" s="374" t="s">
        <v>95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2:14" s="4" customFormat="1" ht="29.25" customHeight="1">
      <c r="B2" s="375" t="s">
        <v>130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52</v>
      </c>
      <c r="F3" s="63" t="s">
        <v>6</v>
      </c>
      <c r="G3" s="64" t="s">
        <v>5</v>
      </c>
      <c r="H3" s="65" t="s">
        <v>51</v>
      </c>
      <c r="I3" s="66"/>
      <c r="J3" s="138" t="s">
        <v>6</v>
      </c>
      <c r="K3" s="134"/>
      <c r="L3" s="135"/>
      <c r="M3" s="136" t="s">
        <v>5</v>
      </c>
      <c r="N3" s="137" t="s">
        <v>4</v>
      </c>
    </row>
    <row r="4" spans="1:14" s="73" customFormat="1" ht="18" customHeight="1">
      <c r="A4" s="120" t="s">
        <v>65</v>
      </c>
      <c r="B4" s="160">
        <v>10.6</v>
      </c>
      <c r="C4" s="71">
        <v>37</v>
      </c>
      <c r="D4" s="69">
        <v>30</v>
      </c>
      <c r="E4" s="70"/>
      <c r="F4" s="71">
        <v>1</v>
      </c>
      <c r="G4" s="68">
        <v>10</v>
      </c>
      <c r="H4" s="72">
        <f aca="true" t="shared" si="0" ref="H4:H11">N4+I4</f>
        <v>1550000</v>
      </c>
      <c r="I4" s="85">
        <f aca="true" t="shared" si="1" ref="I4:I11">IF(E4&gt;0,$N$13,0)+IF(C4&gt;0,50000,0)+IF(C12&lt;0,50000,0)</f>
        <v>50000</v>
      </c>
      <c r="J4" s="87" t="s">
        <v>8</v>
      </c>
      <c r="K4" s="88"/>
      <c r="L4" s="89"/>
      <c r="M4" s="78">
        <v>10</v>
      </c>
      <c r="N4" s="72">
        <f>N12*25%</f>
        <v>1500000</v>
      </c>
    </row>
    <row r="5" spans="1:14" s="73" customFormat="1" ht="18" customHeight="1">
      <c r="A5" s="120" t="s">
        <v>109</v>
      </c>
      <c r="B5" s="160">
        <v>15</v>
      </c>
      <c r="C5" s="77">
        <v>36</v>
      </c>
      <c r="D5" s="69">
        <v>34</v>
      </c>
      <c r="E5" s="174"/>
      <c r="F5" s="71">
        <v>2</v>
      </c>
      <c r="G5" s="71">
        <v>8</v>
      </c>
      <c r="H5" s="72">
        <f t="shared" si="0"/>
        <v>1250000</v>
      </c>
      <c r="I5" s="85">
        <f t="shared" si="1"/>
        <v>50000</v>
      </c>
      <c r="J5" s="90" t="s">
        <v>9</v>
      </c>
      <c r="K5" s="91"/>
      <c r="L5" s="92"/>
      <c r="M5" s="75">
        <v>8</v>
      </c>
      <c r="N5" s="72">
        <f>N12*20%</f>
        <v>1200000</v>
      </c>
    </row>
    <row r="6" spans="1:14" s="73" customFormat="1" ht="18" customHeight="1">
      <c r="A6" s="120" t="s">
        <v>110</v>
      </c>
      <c r="B6" s="160">
        <v>15.1</v>
      </c>
      <c r="C6" s="71">
        <v>36</v>
      </c>
      <c r="D6" s="69">
        <v>35</v>
      </c>
      <c r="E6" s="174"/>
      <c r="F6" s="76">
        <v>3</v>
      </c>
      <c r="G6" s="76">
        <v>6</v>
      </c>
      <c r="H6" s="72">
        <f t="shared" si="0"/>
        <v>950000</v>
      </c>
      <c r="I6" s="85">
        <f t="shared" si="1"/>
        <v>50000</v>
      </c>
      <c r="J6" s="90" t="s">
        <v>10</v>
      </c>
      <c r="K6" s="91"/>
      <c r="L6" s="92"/>
      <c r="M6" s="75">
        <v>6</v>
      </c>
      <c r="N6" s="72">
        <f>N12*15%</f>
        <v>900000</v>
      </c>
    </row>
    <row r="7" spans="1:18" s="73" customFormat="1" ht="18" customHeight="1">
      <c r="A7" s="120" t="s">
        <v>70</v>
      </c>
      <c r="B7" s="160">
        <v>16.9</v>
      </c>
      <c r="C7" s="71">
        <v>36</v>
      </c>
      <c r="D7" s="69">
        <v>32</v>
      </c>
      <c r="E7" s="70"/>
      <c r="F7" s="71">
        <v>4</v>
      </c>
      <c r="G7" s="71">
        <v>5</v>
      </c>
      <c r="H7" s="72">
        <f t="shared" si="0"/>
        <v>770000</v>
      </c>
      <c r="I7" s="85">
        <f t="shared" si="1"/>
        <v>50000</v>
      </c>
      <c r="J7" s="90" t="s">
        <v>11</v>
      </c>
      <c r="K7" s="91"/>
      <c r="L7" s="92"/>
      <c r="M7" s="75">
        <v>5</v>
      </c>
      <c r="N7" s="72">
        <f>N12*12%</f>
        <v>720000</v>
      </c>
      <c r="O7" s="79"/>
      <c r="P7" s="79"/>
      <c r="Q7" s="79"/>
      <c r="R7" s="80"/>
    </row>
    <row r="8" spans="1:14" s="73" customFormat="1" ht="18" customHeight="1">
      <c r="A8" s="120" t="s">
        <v>73</v>
      </c>
      <c r="B8" s="160">
        <v>14.8</v>
      </c>
      <c r="C8" s="71">
        <v>33</v>
      </c>
      <c r="D8" s="74">
        <v>34</v>
      </c>
      <c r="E8" s="174"/>
      <c r="F8" s="71">
        <v>5</v>
      </c>
      <c r="G8" s="71">
        <v>4</v>
      </c>
      <c r="H8" s="72">
        <f t="shared" si="0"/>
        <v>650000</v>
      </c>
      <c r="I8" s="85">
        <f t="shared" si="1"/>
        <v>50000</v>
      </c>
      <c r="J8" s="90" t="s">
        <v>12</v>
      </c>
      <c r="K8" s="91"/>
      <c r="L8" s="92"/>
      <c r="M8" s="75">
        <v>4</v>
      </c>
      <c r="N8" s="72">
        <f>N12*10%</f>
        <v>600000</v>
      </c>
    </row>
    <row r="9" spans="1:14" s="73" customFormat="1" ht="18" customHeight="1">
      <c r="A9" s="120" t="s">
        <v>59</v>
      </c>
      <c r="B9" s="160">
        <v>18.6</v>
      </c>
      <c r="C9" s="71">
        <v>33</v>
      </c>
      <c r="D9" s="69">
        <v>35</v>
      </c>
      <c r="E9" s="174">
        <v>5.02</v>
      </c>
      <c r="F9" s="81">
        <v>6</v>
      </c>
      <c r="G9" s="81">
        <v>3</v>
      </c>
      <c r="H9" s="72">
        <f t="shared" si="0"/>
        <v>890000</v>
      </c>
      <c r="I9" s="85">
        <f t="shared" si="1"/>
        <v>410000</v>
      </c>
      <c r="J9" s="90" t="s">
        <v>13</v>
      </c>
      <c r="K9" s="91"/>
      <c r="L9" s="92"/>
      <c r="M9" s="75">
        <v>3</v>
      </c>
      <c r="N9" s="72">
        <f>N12*8%</f>
        <v>480000</v>
      </c>
    </row>
    <row r="10" spans="1:14" s="73" customFormat="1" ht="18" customHeight="1">
      <c r="A10" s="120" t="s">
        <v>77</v>
      </c>
      <c r="B10" s="160">
        <v>22.8</v>
      </c>
      <c r="C10" s="71">
        <v>33</v>
      </c>
      <c r="D10" s="77">
        <v>36</v>
      </c>
      <c r="E10" s="70"/>
      <c r="F10" s="71">
        <v>7</v>
      </c>
      <c r="G10" s="71">
        <v>2</v>
      </c>
      <c r="H10" s="72">
        <f t="shared" si="0"/>
        <v>410000</v>
      </c>
      <c r="I10" s="85">
        <f t="shared" si="1"/>
        <v>50000</v>
      </c>
      <c r="J10" s="90" t="s">
        <v>14</v>
      </c>
      <c r="K10" s="91"/>
      <c r="L10" s="92"/>
      <c r="M10" s="75">
        <v>2</v>
      </c>
      <c r="N10" s="72">
        <f>N12*6%</f>
        <v>360000</v>
      </c>
    </row>
    <row r="11" spans="1:14" s="73" customFormat="1" ht="18" customHeight="1">
      <c r="A11" s="120" t="s">
        <v>71</v>
      </c>
      <c r="B11" s="160">
        <v>6.3</v>
      </c>
      <c r="C11" s="74">
        <v>32</v>
      </c>
      <c r="D11" s="69">
        <v>34</v>
      </c>
      <c r="E11" s="70"/>
      <c r="F11" s="71">
        <v>8</v>
      </c>
      <c r="G11" s="71">
        <v>1</v>
      </c>
      <c r="H11" s="72">
        <f t="shared" si="0"/>
        <v>290000</v>
      </c>
      <c r="I11" s="85">
        <f t="shared" si="1"/>
        <v>50000</v>
      </c>
      <c r="J11" s="90" t="s">
        <v>15</v>
      </c>
      <c r="K11" s="91"/>
      <c r="L11" s="92"/>
      <c r="M11" s="75">
        <v>1</v>
      </c>
      <c r="N11" s="72">
        <f>N12*4%</f>
        <v>240000</v>
      </c>
    </row>
    <row r="12" spans="1:14" s="73" customFormat="1" ht="18" customHeight="1">
      <c r="A12" s="120" t="s">
        <v>58</v>
      </c>
      <c r="B12" s="160">
        <v>7.3</v>
      </c>
      <c r="C12" s="74">
        <v>29</v>
      </c>
      <c r="D12" s="69">
        <v>35</v>
      </c>
      <c r="E12" s="70"/>
      <c r="F12" s="68"/>
      <c r="G12" s="71"/>
      <c r="H12" s="72">
        <f aca="true" t="shared" si="2" ref="H12:H27">I12</f>
        <v>50000</v>
      </c>
      <c r="I12" s="85">
        <f aca="true" t="shared" si="3" ref="I12:I27">IF(E12&gt;0,$N$13,0)+IF(C12&gt;0,50000,0)+IF(C12&lt;0,50000,0)</f>
        <v>50000</v>
      </c>
      <c r="J12" s="93" t="s">
        <v>3</v>
      </c>
      <c r="K12" s="91"/>
      <c r="L12" s="92"/>
      <c r="M12" s="75"/>
      <c r="N12" s="82">
        <v>6000000</v>
      </c>
    </row>
    <row r="13" spans="1:14" s="73" customFormat="1" ht="18" customHeight="1">
      <c r="A13" s="120" t="s">
        <v>61</v>
      </c>
      <c r="B13" s="160">
        <v>22.1</v>
      </c>
      <c r="C13" s="74">
        <v>29</v>
      </c>
      <c r="D13" s="69">
        <v>37</v>
      </c>
      <c r="E13" s="70"/>
      <c r="F13" s="71"/>
      <c r="G13" s="71"/>
      <c r="H13" s="72">
        <f t="shared" si="2"/>
        <v>50000</v>
      </c>
      <c r="I13" s="85">
        <f t="shared" si="3"/>
        <v>50000</v>
      </c>
      <c r="J13" s="122" t="s">
        <v>62</v>
      </c>
      <c r="K13" s="123"/>
      <c r="L13" s="124"/>
      <c r="M13" s="125">
        <v>1</v>
      </c>
      <c r="N13" s="126">
        <f>N10</f>
        <v>360000</v>
      </c>
    </row>
    <row r="14" spans="1:14" s="73" customFormat="1" ht="18" customHeight="1">
      <c r="A14" s="120" t="s">
        <v>76</v>
      </c>
      <c r="B14" s="160">
        <v>12.2</v>
      </c>
      <c r="C14" s="71">
        <v>27</v>
      </c>
      <c r="D14" s="69">
        <v>34</v>
      </c>
      <c r="E14" s="70"/>
      <c r="F14" s="71"/>
      <c r="G14" s="71"/>
      <c r="H14" s="72">
        <f t="shared" si="2"/>
        <v>50000</v>
      </c>
      <c r="I14" s="85">
        <f t="shared" si="3"/>
        <v>50000</v>
      </c>
      <c r="J14" s="131"/>
      <c r="K14" s="123"/>
      <c r="L14" s="123"/>
      <c r="M14" s="132"/>
      <c r="N14" s="133"/>
    </row>
    <row r="15" spans="1:14" s="73" customFormat="1" ht="18" customHeight="1">
      <c r="A15" s="120" t="s">
        <v>115</v>
      </c>
      <c r="B15" s="160">
        <v>14.3</v>
      </c>
      <c r="C15" s="71">
        <v>27</v>
      </c>
      <c r="D15" s="69">
        <v>33</v>
      </c>
      <c r="E15" s="70"/>
      <c r="F15" s="71"/>
      <c r="G15" s="71"/>
      <c r="H15" s="72">
        <f t="shared" si="2"/>
        <v>50000</v>
      </c>
      <c r="I15" s="85">
        <f t="shared" si="3"/>
        <v>50000</v>
      </c>
      <c r="J15" s="127"/>
      <c r="K15" s="128"/>
      <c r="L15" s="128"/>
      <c r="M15" s="129"/>
      <c r="N15" s="130"/>
    </row>
    <row r="16" spans="1:9" s="73" customFormat="1" ht="18" customHeight="1">
      <c r="A16" s="120" t="s">
        <v>75</v>
      </c>
      <c r="B16" s="160">
        <v>16.6</v>
      </c>
      <c r="C16" s="71">
        <v>27</v>
      </c>
      <c r="D16" s="69">
        <v>36</v>
      </c>
      <c r="E16" s="70"/>
      <c r="F16" s="76"/>
      <c r="G16" s="76"/>
      <c r="H16" s="72">
        <f t="shared" si="2"/>
        <v>50000</v>
      </c>
      <c r="I16" s="85">
        <f t="shared" si="3"/>
        <v>50000</v>
      </c>
    </row>
    <row r="17" spans="1:18" s="73" customFormat="1" ht="18" customHeight="1">
      <c r="A17" s="120" t="s">
        <v>74</v>
      </c>
      <c r="B17" s="160">
        <v>17.8</v>
      </c>
      <c r="C17" s="71">
        <v>27</v>
      </c>
      <c r="D17" s="77">
        <v>37</v>
      </c>
      <c r="E17" s="70"/>
      <c r="F17" s="76"/>
      <c r="G17" s="76"/>
      <c r="H17" s="72">
        <f t="shared" si="2"/>
        <v>50000</v>
      </c>
      <c r="I17" s="85">
        <f t="shared" si="3"/>
        <v>50000</v>
      </c>
      <c r="O17" s="79"/>
      <c r="P17" s="79"/>
      <c r="Q17" s="79"/>
      <c r="R17" s="80"/>
    </row>
    <row r="18" spans="1:13" s="73" customFormat="1" ht="18" customHeight="1">
      <c r="A18" s="120" t="s">
        <v>117</v>
      </c>
      <c r="B18" s="160">
        <v>13.2</v>
      </c>
      <c r="C18" s="71">
        <v>25</v>
      </c>
      <c r="D18" s="77">
        <v>39</v>
      </c>
      <c r="E18" s="174"/>
      <c r="F18" s="71"/>
      <c r="G18" s="71"/>
      <c r="H18" s="72">
        <f t="shared" si="2"/>
        <v>50000</v>
      </c>
      <c r="I18" s="85">
        <f t="shared" si="3"/>
        <v>50000</v>
      </c>
      <c r="J18" s="80"/>
      <c r="K18" s="80"/>
      <c r="L18" s="80"/>
      <c r="M18" s="80"/>
    </row>
    <row r="19" spans="1:13" s="73" customFormat="1" ht="18" customHeight="1">
      <c r="A19" s="120" t="s">
        <v>66</v>
      </c>
      <c r="B19" s="160">
        <v>24.8</v>
      </c>
      <c r="C19" s="71">
        <v>25</v>
      </c>
      <c r="D19" s="69">
        <v>36</v>
      </c>
      <c r="E19" s="70"/>
      <c r="F19" s="71"/>
      <c r="G19" s="71"/>
      <c r="H19" s="72">
        <f t="shared" si="2"/>
        <v>50000</v>
      </c>
      <c r="I19" s="85">
        <f t="shared" si="3"/>
        <v>50000</v>
      </c>
      <c r="J19" s="80"/>
      <c r="K19" s="80"/>
      <c r="L19" s="80"/>
      <c r="M19" s="80"/>
    </row>
    <row r="20" spans="1:9" s="4" customFormat="1" ht="18" customHeight="1">
      <c r="A20" s="120"/>
      <c r="B20" s="160"/>
      <c r="C20" s="74"/>
      <c r="D20" s="77"/>
      <c r="E20" s="174"/>
      <c r="F20" s="76"/>
      <c r="G20" s="76"/>
      <c r="H20" s="72">
        <f t="shared" si="2"/>
        <v>0</v>
      </c>
      <c r="I20" s="85">
        <f t="shared" si="3"/>
        <v>0</v>
      </c>
    </row>
    <row r="21" spans="1:9" s="4" customFormat="1" ht="18" customHeight="1">
      <c r="A21" s="120"/>
      <c r="B21" s="160"/>
      <c r="C21" s="68"/>
      <c r="D21" s="77"/>
      <c r="E21" s="70"/>
      <c r="F21" s="76"/>
      <c r="G21" s="76"/>
      <c r="H21" s="72">
        <f t="shared" si="2"/>
        <v>0</v>
      </c>
      <c r="I21" s="85">
        <f t="shared" si="3"/>
        <v>0</v>
      </c>
    </row>
    <row r="22" spans="1:9" s="4" customFormat="1" ht="18" customHeight="1">
      <c r="A22" s="120"/>
      <c r="B22" s="160"/>
      <c r="C22" s="76"/>
      <c r="D22" s="77"/>
      <c r="E22" s="70"/>
      <c r="F22" s="76"/>
      <c r="G22" s="76"/>
      <c r="H22" s="72">
        <f t="shared" si="2"/>
        <v>0</v>
      </c>
      <c r="I22" s="85">
        <f t="shared" si="3"/>
        <v>0</v>
      </c>
    </row>
    <row r="23" spans="1:9" s="4" customFormat="1" ht="18" customHeight="1">
      <c r="A23" s="120"/>
      <c r="B23" s="160"/>
      <c r="C23" s="74"/>
      <c r="D23" s="69"/>
      <c r="E23" s="70"/>
      <c r="F23" s="76"/>
      <c r="G23" s="76"/>
      <c r="H23" s="72">
        <f t="shared" si="2"/>
        <v>0</v>
      </c>
      <c r="I23" s="85">
        <f t="shared" si="3"/>
        <v>0</v>
      </c>
    </row>
    <row r="24" spans="1:9" s="4" customFormat="1" ht="18" customHeight="1">
      <c r="A24" s="120"/>
      <c r="B24" s="160"/>
      <c r="C24" s="76"/>
      <c r="D24" s="69"/>
      <c r="E24" s="70"/>
      <c r="F24" s="76"/>
      <c r="G24" s="76"/>
      <c r="H24" s="72">
        <f t="shared" si="2"/>
        <v>0</v>
      </c>
      <c r="I24" s="85">
        <f t="shared" si="3"/>
        <v>0</v>
      </c>
    </row>
    <row r="25" spans="1:9" s="4" customFormat="1" ht="18" customHeight="1">
      <c r="A25" s="120"/>
      <c r="B25" s="160"/>
      <c r="C25" s="71"/>
      <c r="D25" s="77"/>
      <c r="E25" s="174"/>
      <c r="F25" s="76"/>
      <c r="G25" s="76"/>
      <c r="H25" s="72">
        <f t="shared" si="2"/>
        <v>0</v>
      </c>
      <c r="I25" s="85">
        <f t="shared" si="3"/>
        <v>0</v>
      </c>
    </row>
    <row r="26" spans="1:9" s="4" customFormat="1" ht="18" customHeight="1">
      <c r="A26" s="120"/>
      <c r="B26" s="176"/>
      <c r="C26" s="74"/>
      <c r="D26" s="77"/>
      <c r="E26" s="174"/>
      <c r="F26" s="71"/>
      <c r="G26" s="71"/>
      <c r="H26" s="72">
        <f t="shared" si="2"/>
        <v>0</v>
      </c>
      <c r="I26" s="85">
        <f t="shared" si="3"/>
        <v>0</v>
      </c>
    </row>
    <row r="27" spans="1:9" s="4" customFormat="1" ht="18" customHeight="1">
      <c r="A27" s="121"/>
      <c r="B27" s="67"/>
      <c r="C27" s="71"/>
      <c r="D27" s="69"/>
      <c r="E27" s="70"/>
      <c r="F27" s="71"/>
      <c r="G27" s="71"/>
      <c r="H27" s="72">
        <f t="shared" si="2"/>
        <v>0</v>
      </c>
      <c r="I27" s="85">
        <f t="shared" si="3"/>
        <v>0</v>
      </c>
    </row>
    <row r="28" spans="1:9" ht="24" customHeight="1" thickBot="1">
      <c r="A28" s="1"/>
      <c r="B28" s="2"/>
      <c r="C28" s="3"/>
      <c r="D28" s="177">
        <f>SUM(D4:D27)</f>
        <v>557</v>
      </c>
      <c r="E28" s="3"/>
      <c r="F28" s="2"/>
      <c r="G28" s="178">
        <f>SUM(G4:G27)</f>
        <v>39</v>
      </c>
      <c r="H28" s="178">
        <f>SUM(H4:H27)</f>
        <v>7160000</v>
      </c>
      <c r="I28" s="86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4330708661417323" right="0.4330708661417323" top="0.5511811023622047" bottom="0.5511811023622047" header="0.31496062992125984" footer="0.31496062992125984"/>
  <pageSetup fitToHeight="1" fitToWidth="1" orientation="landscape" paperSize="9" scale="88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28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4" customFormat="1" ht="43.5" customHeight="1">
      <c r="B1" s="374" t="s">
        <v>93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2:14" s="4" customFormat="1" ht="29.25" customHeight="1">
      <c r="B2" s="375" t="s">
        <v>129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52</v>
      </c>
      <c r="F3" s="63" t="s">
        <v>6</v>
      </c>
      <c r="G3" s="64" t="s">
        <v>5</v>
      </c>
      <c r="H3" s="65" t="s">
        <v>51</v>
      </c>
      <c r="I3" s="66"/>
      <c r="J3" s="138" t="s">
        <v>6</v>
      </c>
      <c r="K3" s="134"/>
      <c r="L3" s="135"/>
      <c r="M3" s="136" t="s">
        <v>5</v>
      </c>
      <c r="N3" s="137" t="s">
        <v>4</v>
      </c>
    </row>
    <row r="4" spans="1:14" s="73" customFormat="1" ht="18" customHeight="1">
      <c r="A4" s="120" t="s">
        <v>110</v>
      </c>
      <c r="B4" s="160">
        <v>15.7</v>
      </c>
      <c r="C4" s="77">
        <v>67</v>
      </c>
      <c r="D4" s="69">
        <v>32</v>
      </c>
      <c r="E4" s="70">
        <v>4.12</v>
      </c>
      <c r="F4" s="71">
        <v>1</v>
      </c>
      <c r="G4" s="68">
        <v>10</v>
      </c>
      <c r="H4" s="72">
        <f aca="true" t="shared" si="0" ref="H4:H11">N4+I4</f>
        <v>2530000</v>
      </c>
      <c r="I4" s="85">
        <f aca="true" t="shared" si="1" ref="I4:I11">IF(E4&gt;0,$N$13,0)+IF(C4&gt;0,50000,0)+IF(C12&lt;0,50000,0)</f>
        <v>530000</v>
      </c>
      <c r="J4" s="87" t="s">
        <v>8</v>
      </c>
      <c r="K4" s="88"/>
      <c r="L4" s="89"/>
      <c r="M4" s="78">
        <v>10</v>
      </c>
      <c r="N4" s="72">
        <f>N12*25%</f>
        <v>2000000</v>
      </c>
    </row>
    <row r="5" spans="1:14" s="73" customFormat="1" ht="18" customHeight="1">
      <c r="A5" s="120" t="s">
        <v>65</v>
      </c>
      <c r="B5" s="160">
        <v>10.6</v>
      </c>
      <c r="C5" s="71">
        <v>72</v>
      </c>
      <c r="D5" s="69">
        <v>32</v>
      </c>
      <c r="E5" s="70"/>
      <c r="F5" s="71">
        <v>2</v>
      </c>
      <c r="G5" s="71">
        <v>8</v>
      </c>
      <c r="H5" s="72">
        <f t="shared" si="0"/>
        <v>1650000</v>
      </c>
      <c r="I5" s="85">
        <f t="shared" si="1"/>
        <v>50000</v>
      </c>
      <c r="J5" s="90" t="s">
        <v>9</v>
      </c>
      <c r="K5" s="91"/>
      <c r="L5" s="92"/>
      <c r="M5" s="75">
        <v>8</v>
      </c>
      <c r="N5" s="72">
        <f>N12*20%</f>
        <v>1600000</v>
      </c>
    </row>
    <row r="6" spans="1:14" s="73" customFormat="1" ht="18" customHeight="1">
      <c r="A6" s="120" t="s">
        <v>115</v>
      </c>
      <c r="B6" s="160">
        <v>14.2</v>
      </c>
      <c r="C6" s="71">
        <v>74</v>
      </c>
      <c r="D6" s="69">
        <v>31</v>
      </c>
      <c r="E6" s="174"/>
      <c r="F6" s="76">
        <v>3</v>
      </c>
      <c r="G6" s="76">
        <v>6</v>
      </c>
      <c r="H6" s="72">
        <f t="shared" si="0"/>
        <v>1250000</v>
      </c>
      <c r="I6" s="85">
        <f t="shared" si="1"/>
        <v>50000</v>
      </c>
      <c r="J6" s="90" t="s">
        <v>10</v>
      </c>
      <c r="K6" s="91"/>
      <c r="L6" s="92"/>
      <c r="M6" s="75">
        <v>6</v>
      </c>
      <c r="N6" s="72">
        <f>N12*15%</f>
        <v>1200000</v>
      </c>
    </row>
    <row r="7" spans="1:18" s="73" customFormat="1" ht="18" customHeight="1">
      <c r="A7" s="120" t="s">
        <v>326</v>
      </c>
      <c r="B7" s="160">
        <v>15.2</v>
      </c>
      <c r="C7" s="71">
        <v>74</v>
      </c>
      <c r="D7" s="69">
        <v>32</v>
      </c>
      <c r="E7" s="70"/>
      <c r="F7" s="71">
        <v>4</v>
      </c>
      <c r="G7" s="71">
        <v>5</v>
      </c>
      <c r="H7" s="72">
        <f t="shared" si="0"/>
        <v>1010000</v>
      </c>
      <c r="I7" s="85">
        <f t="shared" si="1"/>
        <v>50000</v>
      </c>
      <c r="J7" s="90" t="s">
        <v>11</v>
      </c>
      <c r="K7" s="91"/>
      <c r="L7" s="92"/>
      <c r="M7" s="75">
        <v>5</v>
      </c>
      <c r="N7" s="72">
        <f>N12*12%</f>
        <v>960000</v>
      </c>
      <c r="O7" s="79"/>
      <c r="P7" s="79"/>
      <c r="Q7" s="79"/>
      <c r="R7" s="80"/>
    </row>
    <row r="8" spans="1:14" s="73" customFormat="1" ht="18" customHeight="1">
      <c r="A8" s="120" t="s">
        <v>59</v>
      </c>
      <c r="B8" s="160">
        <v>18.4</v>
      </c>
      <c r="C8" s="71">
        <v>76</v>
      </c>
      <c r="D8" s="77">
        <v>31</v>
      </c>
      <c r="E8" s="70"/>
      <c r="F8" s="71">
        <v>5</v>
      </c>
      <c r="G8" s="71">
        <v>4</v>
      </c>
      <c r="H8" s="72">
        <f t="shared" si="0"/>
        <v>850000</v>
      </c>
      <c r="I8" s="85">
        <f t="shared" si="1"/>
        <v>50000</v>
      </c>
      <c r="J8" s="90" t="s">
        <v>12</v>
      </c>
      <c r="K8" s="91"/>
      <c r="L8" s="92"/>
      <c r="M8" s="75">
        <v>4</v>
      </c>
      <c r="N8" s="72">
        <f>N12*10%</f>
        <v>800000</v>
      </c>
    </row>
    <row r="9" spans="1:14" s="73" customFormat="1" ht="18" customHeight="1">
      <c r="A9" s="120" t="s">
        <v>70</v>
      </c>
      <c r="B9" s="160">
        <v>16.9</v>
      </c>
      <c r="C9" s="74">
        <v>77</v>
      </c>
      <c r="D9" s="69">
        <v>36</v>
      </c>
      <c r="E9" s="70"/>
      <c r="F9" s="81">
        <v>6</v>
      </c>
      <c r="G9" s="81">
        <v>3</v>
      </c>
      <c r="H9" s="72">
        <f t="shared" si="0"/>
        <v>690000</v>
      </c>
      <c r="I9" s="85">
        <f t="shared" si="1"/>
        <v>50000</v>
      </c>
      <c r="J9" s="90" t="s">
        <v>13</v>
      </c>
      <c r="K9" s="91"/>
      <c r="L9" s="92"/>
      <c r="M9" s="75">
        <v>3</v>
      </c>
      <c r="N9" s="72">
        <f>N12*8%</f>
        <v>640000</v>
      </c>
    </row>
    <row r="10" spans="1:14" s="73" customFormat="1" ht="18" customHeight="1">
      <c r="A10" s="120" t="s">
        <v>71</v>
      </c>
      <c r="B10" s="160">
        <v>6.4</v>
      </c>
      <c r="C10" s="71">
        <v>78</v>
      </c>
      <c r="D10" s="69">
        <v>28</v>
      </c>
      <c r="E10" s="174"/>
      <c r="F10" s="71">
        <v>7</v>
      </c>
      <c r="G10" s="71">
        <v>2</v>
      </c>
      <c r="H10" s="72">
        <f t="shared" si="0"/>
        <v>530000</v>
      </c>
      <c r="I10" s="85">
        <f t="shared" si="1"/>
        <v>50000</v>
      </c>
      <c r="J10" s="90" t="s">
        <v>14</v>
      </c>
      <c r="K10" s="91"/>
      <c r="L10" s="92"/>
      <c r="M10" s="75">
        <v>2</v>
      </c>
      <c r="N10" s="72">
        <f>N12*6%</f>
        <v>480000</v>
      </c>
    </row>
    <row r="11" spans="1:14" s="73" customFormat="1" ht="18" customHeight="1">
      <c r="A11" s="120" t="s">
        <v>111</v>
      </c>
      <c r="B11" s="160">
        <v>14</v>
      </c>
      <c r="C11" s="71">
        <v>79</v>
      </c>
      <c r="D11" s="77">
        <v>35</v>
      </c>
      <c r="E11" s="70"/>
      <c r="F11" s="71">
        <v>8</v>
      </c>
      <c r="G11" s="71">
        <v>1</v>
      </c>
      <c r="H11" s="72">
        <f t="shared" si="0"/>
        <v>370000</v>
      </c>
      <c r="I11" s="85">
        <f t="shared" si="1"/>
        <v>50000</v>
      </c>
      <c r="J11" s="90" t="s">
        <v>15</v>
      </c>
      <c r="K11" s="91"/>
      <c r="L11" s="92"/>
      <c r="M11" s="75">
        <v>1</v>
      </c>
      <c r="N11" s="72">
        <f>N12*4%</f>
        <v>320000</v>
      </c>
    </row>
    <row r="12" spans="1:14" s="73" customFormat="1" ht="18" customHeight="1">
      <c r="A12" s="120" t="s">
        <v>75</v>
      </c>
      <c r="B12" s="160">
        <v>16.5</v>
      </c>
      <c r="C12" s="71">
        <v>79</v>
      </c>
      <c r="D12" s="69">
        <v>34</v>
      </c>
      <c r="E12" s="70"/>
      <c r="F12" s="68"/>
      <c r="G12" s="71"/>
      <c r="H12" s="72">
        <f aca="true" t="shared" si="2" ref="H12:H27">I12</f>
        <v>50000</v>
      </c>
      <c r="I12" s="85">
        <f aca="true" t="shared" si="3" ref="I12:I27">IF(E12&gt;0,$N$13,0)+IF(C12&gt;0,50000,0)+IF(C12&lt;0,50000,0)</f>
        <v>50000</v>
      </c>
      <c r="J12" s="93" t="s">
        <v>3</v>
      </c>
      <c r="K12" s="91"/>
      <c r="L12" s="92"/>
      <c r="M12" s="75"/>
      <c r="N12" s="82">
        <v>8000000</v>
      </c>
    </row>
    <row r="13" spans="1:14" s="73" customFormat="1" ht="18" customHeight="1">
      <c r="A13" s="120" t="s">
        <v>76</v>
      </c>
      <c r="B13" s="160">
        <v>12.2</v>
      </c>
      <c r="C13" s="71">
        <v>81</v>
      </c>
      <c r="D13" s="74">
        <v>38</v>
      </c>
      <c r="E13" s="70"/>
      <c r="F13" s="71"/>
      <c r="G13" s="71"/>
      <c r="H13" s="72">
        <f t="shared" si="2"/>
        <v>50000</v>
      </c>
      <c r="I13" s="85">
        <f t="shared" si="3"/>
        <v>50000</v>
      </c>
      <c r="J13" s="122" t="s">
        <v>62</v>
      </c>
      <c r="K13" s="123"/>
      <c r="L13" s="124"/>
      <c r="M13" s="125">
        <v>1</v>
      </c>
      <c r="N13" s="126">
        <f>N10</f>
        <v>480000</v>
      </c>
    </row>
    <row r="14" spans="1:14" s="73" customFormat="1" ht="18" customHeight="1">
      <c r="A14" s="120" t="s">
        <v>77</v>
      </c>
      <c r="B14" s="160">
        <v>22.8</v>
      </c>
      <c r="C14" s="76">
        <v>81</v>
      </c>
      <c r="D14" s="69">
        <v>34</v>
      </c>
      <c r="E14" s="70"/>
      <c r="F14" s="71"/>
      <c r="G14" s="71"/>
      <c r="H14" s="72">
        <f t="shared" si="2"/>
        <v>50000</v>
      </c>
      <c r="I14" s="85">
        <f t="shared" si="3"/>
        <v>50000</v>
      </c>
      <c r="J14" s="131"/>
      <c r="K14" s="123"/>
      <c r="L14" s="123"/>
      <c r="M14" s="132"/>
      <c r="N14" s="133"/>
    </row>
    <row r="15" spans="1:14" s="73" customFormat="1" ht="18" customHeight="1">
      <c r="A15" s="120" t="s">
        <v>78</v>
      </c>
      <c r="B15" s="160">
        <v>12.9</v>
      </c>
      <c r="C15" s="74">
        <v>82</v>
      </c>
      <c r="D15" s="77">
        <v>35</v>
      </c>
      <c r="E15" s="174"/>
      <c r="F15" s="71"/>
      <c r="G15" s="71"/>
      <c r="H15" s="72">
        <f t="shared" si="2"/>
        <v>50000</v>
      </c>
      <c r="I15" s="85">
        <f t="shared" si="3"/>
        <v>50000</v>
      </c>
      <c r="J15" s="127"/>
      <c r="K15" s="128"/>
      <c r="L15" s="128"/>
      <c r="M15" s="129"/>
      <c r="N15" s="130"/>
    </row>
    <row r="16" spans="1:9" s="73" customFormat="1" ht="18" customHeight="1">
      <c r="A16" s="120" t="s">
        <v>60</v>
      </c>
      <c r="B16" s="160">
        <v>8.2</v>
      </c>
      <c r="C16" s="74">
        <v>84</v>
      </c>
      <c r="D16" s="77">
        <v>31</v>
      </c>
      <c r="E16" s="174"/>
      <c r="F16" s="76"/>
      <c r="G16" s="76"/>
      <c r="H16" s="72">
        <f t="shared" si="2"/>
        <v>50000</v>
      </c>
      <c r="I16" s="85">
        <f t="shared" si="3"/>
        <v>50000</v>
      </c>
    </row>
    <row r="17" spans="1:18" s="73" customFormat="1" ht="18" customHeight="1">
      <c r="A17" s="120" t="s">
        <v>66</v>
      </c>
      <c r="B17" s="160">
        <v>24.6</v>
      </c>
      <c r="C17" s="71">
        <v>85</v>
      </c>
      <c r="D17" s="69">
        <v>30</v>
      </c>
      <c r="E17" s="174"/>
      <c r="F17" s="76"/>
      <c r="G17" s="76"/>
      <c r="H17" s="72">
        <f t="shared" si="2"/>
        <v>50000</v>
      </c>
      <c r="I17" s="85">
        <f t="shared" si="3"/>
        <v>50000</v>
      </c>
      <c r="O17" s="79"/>
      <c r="P17" s="79"/>
      <c r="Q17" s="79"/>
      <c r="R17" s="80"/>
    </row>
    <row r="18" spans="1:13" s="73" customFormat="1" ht="18" customHeight="1">
      <c r="A18" s="120"/>
      <c r="B18" s="160"/>
      <c r="C18" s="71"/>
      <c r="D18" s="77"/>
      <c r="E18" s="70"/>
      <c r="F18" s="71"/>
      <c r="G18" s="71"/>
      <c r="H18" s="72">
        <f t="shared" si="2"/>
        <v>0</v>
      </c>
      <c r="I18" s="85">
        <f t="shared" si="3"/>
        <v>0</v>
      </c>
      <c r="J18" s="80"/>
      <c r="K18" s="80"/>
      <c r="L18" s="80"/>
      <c r="M18" s="80"/>
    </row>
    <row r="19" spans="1:13" s="73" customFormat="1" ht="18" customHeight="1">
      <c r="A19" s="120"/>
      <c r="B19" s="160"/>
      <c r="C19" s="74"/>
      <c r="D19" s="69"/>
      <c r="E19" s="174"/>
      <c r="F19" s="71"/>
      <c r="G19" s="71"/>
      <c r="H19" s="72">
        <f t="shared" si="2"/>
        <v>0</v>
      </c>
      <c r="I19" s="85">
        <f t="shared" si="3"/>
        <v>0</v>
      </c>
      <c r="J19" s="80"/>
      <c r="K19" s="80"/>
      <c r="L19" s="80"/>
      <c r="M19" s="80"/>
    </row>
    <row r="20" spans="1:9" s="4" customFormat="1" ht="18" customHeight="1">
      <c r="A20" s="120"/>
      <c r="B20" s="160"/>
      <c r="C20" s="71"/>
      <c r="D20" s="69"/>
      <c r="E20" s="174"/>
      <c r="F20" s="76"/>
      <c r="G20" s="76"/>
      <c r="H20" s="72">
        <f t="shared" si="2"/>
        <v>0</v>
      </c>
      <c r="I20" s="85">
        <f t="shared" si="3"/>
        <v>0</v>
      </c>
    </row>
    <row r="21" spans="1:9" s="4" customFormat="1" ht="18" customHeight="1">
      <c r="A21" s="120"/>
      <c r="B21" s="160"/>
      <c r="C21" s="68"/>
      <c r="D21" s="77"/>
      <c r="E21" s="70"/>
      <c r="F21" s="76"/>
      <c r="G21" s="76"/>
      <c r="H21" s="72">
        <f t="shared" si="2"/>
        <v>0</v>
      </c>
      <c r="I21" s="85">
        <f t="shared" si="3"/>
        <v>0</v>
      </c>
    </row>
    <row r="22" spans="1:9" s="4" customFormat="1" ht="18" customHeight="1">
      <c r="A22" s="120"/>
      <c r="B22" s="160"/>
      <c r="C22" s="74"/>
      <c r="D22" s="69"/>
      <c r="E22" s="174"/>
      <c r="F22" s="76"/>
      <c r="G22" s="76"/>
      <c r="H22" s="72">
        <f t="shared" si="2"/>
        <v>0</v>
      </c>
      <c r="I22" s="85">
        <f t="shared" si="3"/>
        <v>0</v>
      </c>
    </row>
    <row r="23" spans="1:9" s="4" customFormat="1" ht="18" customHeight="1">
      <c r="A23" s="120"/>
      <c r="B23" s="160"/>
      <c r="C23" s="76"/>
      <c r="D23" s="77"/>
      <c r="E23" s="70"/>
      <c r="F23" s="76"/>
      <c r="G23" s="76"/>
      <c r="H23" s="72">
        <f t="shared" si="2"/>
        <v>0</v>
      </c>
      <c r="I23" s="85">
        <f t="shared" si="3"/>
        <v>0</v>
      </c>
    </row>
    <row r="24" spans="1:9" s="4" customFormat="1" ht="18" customHeight="1">
      <c r="A24" s="120"/>
      <c r="B24" s="160"/>
      <c r="C24" s="71"/>
      <c r="D24" s="77"/>
      <c r="E24" s="70"/>
      <c r="F24" s="76"/>
      <c r="G24" s="76"/>
      <c r="H24" s="72">
        <f t="shared" si="2"/>
        <v>0</v>
      </c>
      <c r="I24" s="85">
        <f t="shared" si="3"/>
        <v>0</v>
      </c>
    </row>
    <row r="25" spans="1:9" s="4" customFormat="1" ht="18" customHeight="1">
      <c r="A25" s="120"/>
      <c r="B25" s="160"/>
      <c r="C25" s="71"/>
      <c r="D25" s="69"/>
      <c r="E25" s="70"/>
      <c r="F25" s="76"/>
      <c r="G25" s="76"/>
      <c r="H25" s="72">
        <f t="shared" si="2"/>
        <v>0</v>
      </c>
      <c r="I25" s="85">
        <f t="shared" si="3"/>
        <v>0</v>
      </c>
    </row>
    <row r="26" spans="1:9" s="4" customFormat="1" ht="18" customHeight="1">
      <c r="A26" s="120"/>
      <c r="B26" s="160"/>
      <c r="C26" s="74"/>
      <c r="D26" s="69"/>
      <c r="E26" s="70"/>
      <c r="F26" s="71"/>
      <c r="G26" s="71"/>
      <c r="H26" s="72">
        <f t="shared" si="2"/>
        <v>0</v>
      </c>
      <c r="I26" s="85">
        <f t="shared" si="3"/>
        <v>0</v>
      </c>
    </row>
    <row r="27" spans="1:9" s="4" customFormat="1" ht="18" customHeight="1">
      <c r="A27" s="121"/>
      <c r="B27" s="67"/>
      <c r="C27" s="71"/>
      <c r="D27" s="69"/>
      <c r="E27" s="70"/>
      <c r="F27" s="71"/>
      <c r="G27" s="71"/>
      <c r="H27" s="72">
        <f t="shared" si="2"/>
        <v>0</v>
      </c>
      <c r="I27" s="85">
        <f t="shared" si="3"/>
        <v>0</v>
      </c>
    </row>
    <row r="28" spans="1:9" ht="24" customHeight="1" thickBot="1">
      <c r="A28" s="1"/>
      <c r="B28" s="2"/>
      <c r="C28" s="3"/>
      <c r="D28" s="177">
        <f>SUM(D4:D27)</f>
        <v>459</v>
      </c>
      <c r="E28" s="3"/>
      <c r="F28" s="2"/>
      <c r="G28" s="178">
        <f>SUM(G4:G27)</f>
        <v>39</v>
      </c>
      <c r="H28" s="178">
        <f>SUM(H4:H27)</f>
        <v>9180000</v>
      </c>
      <c r="I28" s="86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4330708661417323" right="0.4330708661417323" top="0.5511811023622047" bottom="0.5511811023622047" header="0.31496062992125984" footer="0.31496062992125984"/>
  <pageSetup fitToHeight="1" fitToWidth="1" orientation="landscape" paperSize="9" scale="88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M4" sqref="M4:M7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4" customFormat="1" ht="43.5" customHeight="1">
      <c r="B1" s="374" t="s">
        <v>127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2:14" s="4" customFormat="1" ht="29.25" customHeight="1">
      <c r="B2" s="375" t="s">
        <v>128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s="7" customFormat="1" ht="27" customHeight="1">
      <c r="A3" s="5" t="s">
        <v>0</v>
      </c>
      <c r="B3" s="6" t="s">
        <v>1</v>
      </c>
      <c r="C3" s="6" t="s">
        <v>19</v>
      </c>
      <c r="D3" s="6" t="s">
        <v>5</v>
      </c>
      <c r="E3" s="6" t="s">
        <v>52</v>
      </c>
      <c r="F3" s="63" t="s">
        <v>6</v>
      </c>
      <c r="G3" s="64" t="s">
        <v>5</v>
      </c>
      <c r="H3" s="65" t="s">
        <v>51</v>
      </c>
      <c r="I3" s="66"/>
      <c r="J3" s="138" t="s">
        <v>6</v>
      </c>
      <c r="K3" s="134"/>
      <c r="L3" s="135"/>
      <c r="M3" s="136" t="s">
        <v>5</v>
      </c>
      <c r="N3" s="137" t="s">
        <v>4</v>
      </c>
    </row>
    <row r="4" spans="1:14" s="73" customFormat="1" ht="18" customHeight="1">
      <c r="A4" s="120" t="s">
        <v>73</v>
      </c>
      <c r="B4" s="176"/>
      <c r="C4" s="74">
        <v>47</v>
      </c>
      <c r="D4" s="77">
        <v>40</v>
      </c>
      <c r="E4" s="174"/>
      <c r="F4" s="71">
        <v>1</v>
      </c>
      <c r="G4" s="68">
        <v>10</v>
      </c>
      <c r="H4" s="72">
        <v>1400000</v>
      </c>
      <c r="I4" s="85">
        <f aca="true" t="shared" si="0" ref="I4:I11">IF(E4&gt;0,$N$13,0)+IF(C4&gt;0,50000,0)+IF(C12&lt;0,50000,0)</f>
        <v>50000</v>
      </c>
      <c r="J4" s="87">
        <v>1</v>
      </c>
      <c r="K4" s="88"/>
      <c r="L4" s="89" t="s">
        <v>299</v>
      </c>
      <c r="M4" s="78">
        <v>10</v>
      </c>
      <c r="N4" s="72">
        <v>1350000</v>
      </c>
    </row>
    <row r="5" spans="1:14" s="73" customFormat="1" ht="18" customHeight="1">
      <c r="A5" s="120" t="s">
        <v>61</v>
      </c>
      <c r="B5" s="176"/>
      <c r="C5" s="74">
        <v>47</v>
      </c>
      <c r="D5" s="69" t="s">
        <v>173</v>
      </c>
      <c r="E5" s="70"/>
      <c r="F5" s="71">
        <v>1</v>
      </c>
      <c r="G5" s="71">
        <v>10</v>
      </c>
      <c r="H5" s="72">
        <v>1400000</v>
      </c>
      <c r="I5" s="85">
        <f t="shared" si="0"/>
        <v>50000</v>
      </c>
      <c r="J5" s="90">
        <v>2</v>
      </c>
      <c r="K5" s="91"/>
      <c r="L5" s="89" t="s">
        <v>299</v>
      </c>
      <c r="M5" s="75">
        <v>6</v>
      </c>
      <c r="N5" s="72">
        <v>810000</v>
      </c>
    </row>
    <row r="6" spans="1:14" s="73" customFormat="1" ht="18" customHeight="1">
      <c r="A6" s="120" t="s">
        <v>109</v>
      </c>
      <c r="B6" s="176"/>
      <c r="C6" s="71">
        <v>43</v>
      </c>
      <c r="D6" s="69">
        <v>35</v>
      </c>
      <c r="E6" s="174"/>
      <c r="F6" s="76">
        <v>2</v>
      </c>
      <c r="G6" s="76">
        <v>6</v>
      </c>
      <c r="H6" s="72">
        <v>860000</v>
      </c>
      <c r="I6" s="85">
        <f t="shared" si="0"/>
        <v>50000</v>
      </c>
      <c r="J6" s="87">
        <v>3</v>
      </c>
      <c r="K6" s="91"/>
      <c r="L6" s="89" t="s">
        <v>299</v>
      </c>
      <c r="M6" s="75">
        <v>4</v>
      </c>
      <c r="N6" s="72">
        <v>540000</v>
      </c>
    </row>
    <row r="7" spans="1:16" s="73" customFormat="1" ht="18" customHeight="1">
      <c r="A7" s="120" t="s">
        <v>75</v>
      </c>
      <c r="B7" s="176"/>
      <c r="C7" s="71">
        <v>43</v>
      </c>
      <c r="D7" s="69">
        <v>33</v>
      </c>
      <c r="E7" s="174"/>
      <c r="F7" s="71">
        <v>2</v>
      </c>
      <c r="G7" s="71">
        <v>6</v>
      </c>
      <c r="H7" s="72">
        <v>860000</v>
      </c>
      <c r="I7" s="85">
        <f t="shared" si="0"/>
        <v>50000</v>
      </c>
      <c r="J7" s="90">
        <v>4</v>
      </c>
      <c r="K7" s="91"/>
      <c r="L7" s="89" t="s">
        <v>299</v>
      </c>
      <c r="M7" s="75">
        <v>2</v>
      </c>
      <c r="N7" s="72">
        <v>310000</v>
      </c>
      <c r="O7" s="79"/>
      <c r="P7" s="79"/>
    </row>
    <row r="8" spans="1:14" s="73" customFormat="1" ht="18" customHeight="1">
      <c r="A8" s="121" t="s">
        <v>240</v>
      </c>
      <c r="B8" s="176"/>
      <c r="C8" s="76">
        <v>42</v>
      </c>
      <c r="D8" s="77">
        <v>29</v>
      </c>
      <c r="E8" s="70"/>
      <c r="F8" s="71">
        <v>3</v>
      </c>
      <c r="G8" s="71">
        <v>4</v>
      </c>
      <c r="H8" s="72">
        <v>590000</v>
      </c>
      <c r="I8" s="85">
        <f t="shared" si="0"/>
        <v>50000</v>
      </c>
      <c r="J8" s="87">
        <v>5</v>
      </c>
      <c r="K8" s="91"/>
      <c r="L8" s="92"/>
      <c r="M8" s="75"/>
      <c r="N8" s="72"/>
    </row>
    <row r="9" spans="1:14" s="73" customFormat="1" ht="18" customHeight="1">
      <c r="A9" s="120" t="s">
        <v>216</v>
      </c>
      <c r="B9" s="176"/>
      <c r="C9" s="76">
        <v>42</v>
      </c>
      <c r="D9" s="69">
        <v>33</v>
      </c>
      <c r="E9" s="70"/>
      <c r="F9" s="81">
        <v>3</v>
      </c>
      <c r="G9" s="81">
        <v>4</v>
      </c>
      <c r="H9" s="72">
        <v>590000</v>
      </c>
      <c r="I9" s="85">
        <f t="shared" si="0"/>
        <v>50000</v>
      </c>
      <c r="J9" s="90">
        <v>6</v>
      </c>
      <c r="K9" s="91"/>
      <c r="L9" s="92"/>
      <c r="M9" s="75"/>
      <c r="N9" s="72"/>
    </row>
    <row r="10" spans="1:14" s="73" customFormat="1" ht="18" customHeight="1">
      <c r="A10" s="121" t="s">
        <v>224</v>
      </c>
      <c r="B10" s="176"/>
      <c r="C10" s="71">
        <v>40</v>
      </c>
      <c r="D10" s="69">
        <v>31</v>
      </c>
      <c r="E10" s="174">
        <v>2.29</v>
      </c>
      <c r="F10" s="71">
        <v>4</v>
      </c>
      <c r="G10" s="71">
        <v>2</v>
      </c>
      <c r="H10" s="72">
        <v>710000</v>
      </c>
      <c r="I10" s="85">
        <f t="shared" si="0"/>
        <v>410000</v>
      </c>
      <c r="J10" s="87">
        <v>7</v>
      </c>
      <c r="K10" s="91"/>
      <c r="L10" s="92"/>
      <c r="M10" s="75"/>
      <c r="N10" s="72"/>
    </row>
    <row r="11" spans="1:14" s="73" customFormat="1" ht="18" customHeight="1">
      <c r="A11" s="326" t="s">
        <v>298</v>
      </c>
      <c r="B11" s="327"/>
      <c r="C11" s="328">
        <v>40</v>
      </c>
      <c r="D11" s="329">
        <v>28</v>
      </c>
      <c r="E11" s="330"/>
      <c r="F11" s="328">
        <v>4</v>
      </c>
      <c r="G11" s="328"/>
      <c r="H11" s="328"/>
      <c r="I11" s="85">
        <f t="shared" si="0"/>
        <v>50000</v>
      </c>
      <c r="J11" s="90">
        <v>8</v>
      </c>
      <c r="K11" s="91"/>
      <c r="L11" s="92"/>
      <c r="M11" s="75"/>
      <c r="N11" s="72"/>
    </row>
    <row r="12" spans="1:14" s="73" customFormat="1" ht="18" customHeight="1">
      <c r="A12" s="120" t="s">
        <v>215</v>
      </c>
      <c r="B12" s="176"/>
      <c r="C12" s="71">
        <v>36</v>
      </c>
      <c r="D12" s="69">
        <v>34</v>
      </c>
      <c r="E12" s="70"/>
      <c r="F12" s="68"/>
      <c r="G12" s="71"/>
      <c r="H12" s="72">
        <f aca="true" t="shared" si="1" ref="H12:H27">I12</f>
        <v>50000</v>
      </c>
      <c r="I12" s="85">
        <f aca="true" t="shared" si="2" ref="I12:I27">IF(E12&gt;0,$N$13,0)+IF(C12&gt;0,50000,0)+IF(C12&lt;0,50000,0)</f>
        <v>50000</v>
      </c>
      <c r="J12" s="93" t="s">
        <v>3</v>
      </c>
      <c r="K12" s="91"/>
      <c r="L12" s="92"/>
      <c r="M12" s="75"/>
      <c r="N12" s="82">
        <v>6000000</v>
      </c>
    </row>
    <row r="13" spans="1:14" s="73" customFormat="1" ht="18" customHeight="1">
      <c r="A13" s="120" t="s">
        <v>264</v>
      </c>
      <c r="B13" s="176"/>
      <c r="C13" s="68">
        <v>36</v>
      </c>
      <c r="D13" s="77">
        <v>27</v>
      </c>
      <c r="E13" s="70"/>
      <c r="F13" s="71"/>
      <c r="G13" s="71"/>
      <c r="H13" s="72">
        <f t="shared" si="1"/>
        <v>50000</v>
      </c>
      <c r="I13" s="85">
        <f t="shared" si="2"/>
        <v>50000</v>
      </c>
      <c r="J13" s="122" t="s">
        <v>62</v>
      </c>
      <c r="K13" s="123"/>
      <c r="L13" s="124"/>
      <c r="M13" s="125">
        <v>1</v>
      </c>
      <c r="N13" s="126">
        <v>360000</v>
      </c>
    </row>
    <row r="14" spans="1:14" s="73" customFormat="1" ht="18" customHeight="1">
      <c r="A14" s="120" t="s">
        <v>233</v>
      </c>
      <c r="B14" s="176"/>
      <c r="C14" s="77">
        <v>36</v>
      </c>
      <c r="D14" s="69">
        <v>30</v>
      </c>
      <c r="E14" s="174"/>
      <c r="F14" s="71"/>
      <c r="G14" s="71"/>
      <c r="H14" s="72">
        <f t="shared" si="1"/>
        <v>50000</v>
      </c>
      <c r="I14" s="85">
        <f t="shared" si="2"/>
        <v>50000</v>
      </c>
      <c r="J14" s="131"/>
      <c r="K14" s="123"/>
      <c r="L14" s="123"/>
      <c r="M14" s="132"/>
      <c r="N14" s="133"/>
    </row>
    <row r="15" spans="1:14" s="73" customFormat="1" ht="18" customHeight="1">
      <c r="A15" s="120" t="s">
        <v>219</v>
      </c>
      <c r="B15" s="176"/>
      <c r="C15" s="74">
        <v>36</v>
      </c>
      <c r="D15" s="69">
        <v>26</v>
      </c>
      <c r="E15" s="70"/>
      <c r="F15" s="71"/>
      <c r="G15" s="71"/>
      <c r="H15" s="72">
        <f t="shared" si="1"/>
        <v>50000</v>
      </c>
      <c r="I15" s="85">
        <f t="shared" si="2"/>
        <v>50000</v>
      </c>
      <c r="J15" s="127"/>
      <c r="K15" s="128"/>
      <c r="L15" s="128"/>
      <c r="M15" s="129"/>
      <c r="N15" s="130"/>
    </row>
    <row r="16" spans="1:9" s="73" customFormat="1" ht="18" customHeight="1">
      <c r="A16" s="120"/>
      <c r="B16" s="176"/>
      <c r="C16" s="71"/>
      <c r="D16" s="77"/>
      <c r="E16" s="70"/>
      <c r="F16" s="76"/>
      <c r="G16" s="76"/>
      <c r="H16" s="72">
        <f t="shared" si="1"/>
        <v>0</v>
      </c>
      <c r="I16" s="85">
        <f t="shared" si="2"/>
        <v>0</v>
      </c>
    </row>
    <row r="17" spans="1:11" s="73" customFormat="1" ht="18" customHeight="1">
      <c r="A17" s="120"/>
      <c r="B17" s="176"/>
      <c r="C17" s="71"/>
      <c r="D17" s="69"/>
      <c r="E17" s="70"/>
      <c r="F17" s="76"/>
      <c r="G17" s="76"/>
      <c r="H17" s="72">
        <f t="shared" si="1"/>
        <v>0</v>
      </c>
      <c r="I17" s="85">
        <f t="shared" si="2"/>
        <v>0</v>
      </c>
      <c r="J17" s="79"/>
      <c r="K17" s="79"/>
    </row>
    <row r="18" spans="1:11" s="73" customFormat="1" ht="18" customHeight="1">
      <c r="A18" s="120"/>
      <c r="B18" s="176"/>
      <c r="C18" s="71"/>
      <c r="D18" s="74"/>
      <c r="E18" s="70"/>
      <c r="F18" s="71"/>
      <c r="G18" s="71"/>
      <c r="H18" s="72">
        <f t="shared" si="1"/>
        <v>0</v>
      </c>
      <c r="I18" s="85">
        <f t="shared" si="2"/>
        <v>0</v>
      </c>
      <c r="J18" s="80"/>
      <c r="K18" s="80"/>
    </row>
    <row r="19" spans="1:11" s="73" customFormat="1" ht="18" customHeight="1">
      <c r="A19" s="120"/>
      <c r="B19" s="176"/>
      <c r="C19" s="71"/>
      <c r="D19" s="69"/>
      <c r="E19" s="174"/>
      <c r="F19" s="71"/>
      <c r="G19" s="71"/>
      <c r="H19" s="72">
        <f t="shared" si="1"/>
        <v>0</v>
      </c>
      <c r="I19" s="85">
        <f t="shared" si="2"/>
        <v>0</v>
      </c>
      <c r="J19" s="80"/>
      <c r="K19" s="80"/>
    </row>
    <row r="20" spans="1:9" s="4" customFormat="1" ht="18" customHeight="1">
      <c r="A20" s="120"/>
      <c r="B20" s="176"/>
      <c r="C20" s="71"/>
      <c r="D20" s="77"/>
      <c r="E20" s="70"/>
      <c r="F20" s="76"/>
      <c r="G20" s="76"/>
      <c r="H20" s="72">
        <f t="shared" si="1"/>
        <v>0</v>
      </c>
      <c r="I20" s="85">
        <f t="shared" si="2"/>
        <v>0</v>
      </c>
    </row>
    <row r="21" spans="1:9" s="4" customFormat="1" ht="18" customHeight="1">
      <c r="A21" s="120"/>
      <c r="B21" s="176"/>
      <c r="C21" s="71"/>
      <c r="D21" s="77"/>
      <c r="E21" s="70"/>
      <c r="F21" s="76"/>
      <c r="G21" s="76"/>
      <c r="H21" s="72">
        <f t="shared" si="1"/>
        <v>0</v>
      </c>
      <c r="I21" s="85">
        <f t="shared" si="2"/>
        <v>0</v>
      </c>
    </row>
    <row r="22" spans="1:9" s="4" customFormat="1" ht="18" customHeight="1">
      <c r="A22" s="120"/>
      <c r="B22" s="176"/>
      <c r="C22" s="76"/>
      <c r="D22" s="69"/>
      <c r="E22" s="70"/>
      <c r="F22" s="76"/>
      <c r="G22" s="76"/>
      <c r="H22" s="72">
        <f t="shared" si="1"/>
        <v>0</v>
      </c>
      <c r="I22" s="85">
        <f t="shared" si="2"/>
        <v>0</v>
      </c>
    </row>
    <row r="23" spans="1:9" s="4" customFormat="1" ht="18" customHeight="1">
      <c r="A23" s="120"/>
      <c r="B23" s="176"/>
      <c r="C23" s="74"/>
      <c r="D23" s="69"/>
      <c r="E23" s="70"/>
      <c r="F23" s="76"/>
      <c r="G23" s="76"/>
      <c r="H23" s="72">
        <f t="shared" si="1"/>
        <v>0</v>
      </c>
      <c r="I23" s="85">
        <f t="shared" si="2"/>
        <v>0</v>
      </c>
    </row>
    <row r="24" spans="1:9" s="4" customFormat="1" ht="18" customHeight="1">
      <c r="A24" s="120"/>
      <c r="B24" s="176"/>
      <c r="C24" s="71"/>
      <c r="D24" s="77"/>
      <c r="E24" s="70"/>
      <c r="F24" s="76"/>
      <c r="G24" s="76"/>
      <c r="H24" s="72">
        <f t="shared" si="1"/>
        <v>0</v>
      </c>
      <c r="I24" s="85">
        <f t="shared" si="2"/>
        <v>0</v>
      </c>
    </row>
    <row r="25" spans="1:9" s="4" customFormat="1" ht="18" customHeight="1">
      <c r="A25" s="120"/>
      <c r="B25" s="176"/>
      <c r="C25" s="74"/>
      <c r="D25" s="69"/>
      <c r="E25" s="174"/>
      <c r="F25" s="76"/>
      <c r="G25" s="76"/>
      <c r="H25" s="72">
        <f t="shared" si="1"/>
        <v>0</v>
      </c>
      <c r="I25" s="85">
        <f t="shared" si="2"/>
        <v>0</v>
      </c>
    </row>
    <row r="26" spans="1:9" s="4" customFormat="1" ht="18" customHeight="1">
      <c r="A26" s="120"/>
      <c r="B26" s="176"/>
      <c r="C26" s="74"/>
      <c r="D26" s="77"/>
      <c r="E26" s="174"/>
      <c r="F26" s="71"/>
      <c r="G26" s="71"/>
      <c r="H26" s="72">
        <f t="shared" si="1"/>
        <v>0</v>
      </c>
      <c r="I26" s="85">
        <f t="shared" si="2"/>
        <v>0</v>
      </c>
    </row>
    <row r="27" spans="1:9" s="4" customFormat="1" ht="18" customHeight="1">
      <c r="A27" s="121"/>
      <c r="B27" s="67"/>
      <c r="C27" s="71"/>
      <c r="D27" s="69"/>
      <c r="E27" s="70"/>
      <c r="F27" s="71"/>
      <c r="G27" s="71"/>
      <c r="H27" s="72">
        <f t="shared" si="1"/>
        <v>0</v>
      </c>
      <c r="I27" s="85">
        <f t="shared" si="2"/>
        <v>0</v>
      </c>
    </row>
    <row r="28" spans="1:9" ht="24" customHeight="1" thickBot="1">
      <c r="A28" s="1"/>
      <c r="B28" s="2"/>
      <c r="C28" s="3"/>
      <c r="D28" s="177">
        <f>SUM(D4:D27)</f>
        <v>346</v>
      </c>
      <c r="E28" s="3"/>
      <c r="F28" s="2"/>
      <c r="G28" s="178">
        <f>SUM(G4:G27)</f>
        <v>42</v>
      </c>
      <c r="H28" s="178">
        <f>SUM(H4:H27)</f>
        <v>6610000</v>
      </c>
      <c r="I28" s="86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4330708661417323" right="0.4330708661417323" top="0.5511811023622047" bottom="0.5511811023622047" header="0.31496062992125984" footer="0.31496062992125984"/>
  <pageSetup fitToHeight="1" fitToWidth="1" orientation="landscape" paperSize="9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19" sqref="F19"/>
    </sheetView>
  </sheetViews>
  <sheetFormatPr defaultColWidth="11.421875" defaultRowHeight="12.75"/>
  <cols>
    <col min="1" max="1" width="10.8515625" style="194" customWidth="1"/>
    <col min="2" max="2" width="37.140625" style="0" customWidth="1"/>
    <col min="3" max="3" width="11.421875" style="0" customWidth="1"/>
    <col min="4" max="4" width="14.140625" style="0" bestFit="1" customWidth="1"/>
  </cols>
  <sheetData>
    <row r="1" spans="1:3" ht="13.5">
      <c r="A1" s="195" t="s">
        <v>106</v>
      </c>
      <c r="B1" s="196" t="s">
        <v>107</v>
      </c>
      <c r="C1" s="196" t="s">
        <v>108</v>
      </c>
    </row>
    <row r="2" spans="1:6" ht="13.5">
      <c r="A2" s="79">
        <v>4726</v>
      </c>
      <c r="B2" s="120" t="s">
        <v>61</v>
      </c>
      <c r="C2" s="160">
        <v>22.1</v>
      </c>
      <c r="D2" s="120" t="s">
        <v>238</v>
      </c>
      <c r="F2" s="292"/>
    </row>
    <row r="3" spans="1:6" ht="13.5">
      <c r="A3" s="79">
        <v>4737</v>
      </c>
      <c r="B3" s="120" t="s">
        <v>60</v>
      </c>
      <c r="C3" s="160">
        <v>14.4</v>
      </c>
      <c r="D3" s="120" t="s">
        <v>239</v>
      </c>
      <c r="F3" s="293"/>
    </row>
    <row r="4" spans="1:6" ht="13.5">
      <c r="A4" s="79">
        <v>1354</v>
      </c>
      <c r="B4" s="120" t="s">
        <v>70</v>
      </c>
      <c r="C4" s="160">
        <v>17.2</v>
      </c>
      <c r="D4" s="120" t="s">
        <v>240</v>
      </c>
      <c r="F4" s="293"/>
    </row>
    <row r="5" spans="1:6" ht="13.5">
      <c r="A5" s="79">
        <v>2619</v>
      </c>
      <c r="B5" s="120" t="s">
        <v>71</v>
      </c>
      <c r="C5" s="160">
        <v>6.3</v>
      </c>
      <c r="D5" s="120" t="s">
        <v>230</v>
      </c>
      <c r="F5" s="292"/>
    </row>
    <row r="6" spans="1:6" ht="13.5">
      <c r="A6" s="79">
        <v>3768</v>
      </c>
      <c r="B6" s="120" t="s">
        <v>115</v>
      </c>
      <c r="C6" s="160">
        <v>14.7</v>
      </c>
      <c r="D6" s="120" t="s">
        <v>241</v>
      </c>
      <c r="F6" s="292"/>
    </row>
    <row r="7" spans="1:6" ht="13.5">
      <c r="A7" s="79">
        <v>4638</v>
      </c>
      <c r="B7" s="120" t="s">
        <v>116</v>
      </c>
      <c r="C7" s="160">
        <v>17.3</v>
      </c>
      <c r="D7" s="120" t="s">
        <v>242</v>
      </c>
      <c r="F7" s="293"/>
    </row>
    <row r="8" spans="1:6" ht="13.5">
      <c r="A8" s="79">
        <v>3112</v>
      </c>
      <c r="B8" s="120" t="s">
        <v>326</v>
      </c>
      <c r="C8" s="160">
        <v>15.2</v>
      </c>
      <c r="D8" s="120" t="s">
        <v>328</v>
      </c>
      <c r="F8" s="293"/>
    </row>
    <row r="9" spans="1:6" ht="13.5">
      <c r="A9" s="79">
        <v>3157</v>
      </c>
      <c r="B9" s="120" t="s">
        <v>117</v>
      </c>
      <c r="C9" s="160">
        <v>13.2</v>
      </c>
      <c r="D9" s="120" t="s">
        <v>227</v>
      </c>
      <c r="F9" s="293"/>
    </row>
    <row r="10" spans="1:6" ht="13.5">
      <c r="A10" s="79">
        <v>3898</v>
      </c>
      <c r="B10" s="120" t="s">
        <v>72</v>
      </c>
      <c r="C10" s="160">
        <v>17.9</v>
      </c>
      <c r="D10" s="120" t="s">
        <v>225</v>
      </c>
      <c r="F10" s="292"/>
    </row>
    <row r="11" spans="1:6" ht="13.5">
      <c r="A11" s="79">
        <v>4596</v>
      </c>
      <c r="B11" s="120" t="s">
        <v>65</v>
      </c>
      <c r="C11" s="160">
        <v>10.9</v>
      </c>
      <c r="D11" s="120" t="s">
        <v>243</v>
      </c>
      <c r="F11" s="292"/>
    </row>
    <row r="12" spans="1:6" ht="13.5">
      <c r="A12" s="79">
        <v>4765</v>
      </c>
      <c r="B12" s="120" t="s">
        <v>109</v>
      </c>
      <c r="C12" s="160">
        <v>14.3</v>
      </c>
      <c r="D12" s="120" t="s">
        <v>244</v>
      </c>
      <c r="F12" s="292"/>
    </row>
    <row r="13" spans="1:6" ht="13.5">
      <c r="A13" s="79">
        <v>2646</v>
      </c>
      <c r="B13" s="120" t="s">
        <v>73</v>
      </c>
      <c r="C13" s="160">
        <v>13.6</v>
      </c>
      <c r="D13" s="120" t="s">
        <v>245</v>
      </c>
      <c r="F13" s="292"/>
    </row>
    <row r="14" spans="1:6" ht="13.5">
      <c r="A14" s="79">
        <v>2332</v>
      </c>
      <c r="B14" s="120" t="s">
        <v>110</v>
      </c>
      <c r="C14" s="160">
        <v>15.4</v>
      </c>
      <c r="D14" s="120" t="s">
        <v>246</v>
      </c>
      <c r="F14" s="292"/>
    </row>
    <row r="15" spans="1:6" ht="13.5">
      <c r="A15" s="79">
        <v>4875</v>
      </c>
      <c r="B15" s="120" t="s">
        <v>74</v>
      </c>
      <c r="C15" s="160">
        <v>17.8</v>
      </c>
      <c r="D15" s="120" t="s">
        <v>247</v>
      </c>
      <c r="F15" s="292"/>
    </row>
    <row r="16" spans="1:6" ht="13.5">
      <c r="A16" s="79">
        <v>3181</v>
      </c>
      <c r="B16" s="120" t="s">
        <v>75</v>
      </c>
      <c r="C16" s="160">
        <v>16.8</v>
      </c>
      <c r="D16" s="120" t="s">
        <v>217</v>
      </c>
      <c r="F16" s="292"/>
    </row>
    <row r="17" spans="1:6" ht="13.5">
      <c r="A17" s="79">
        <v>3703</v>
      </c>
      <c r="B17" s="120" t="s">
        <v>76</v>
      </c>
      <c r="C17" s="160">
        <v>12.2</v>
      </c>
      <c r="D17" s="120" t="s">
        <v>248</v>
      </c>
      <c r="F17" s="292"/>
    </row>
    <row r="18" spans="1:6" ht="13.5">
      <c r="A18" s="79">
        <v>4975</v>
      </c>
      <c r="B18" s="120" t="s">
        <v>66</v>
      </c>
      <c r="C18" s="160">
        <v>25.1</v>
      </c>
      <c r="D18" s="120" t="s">
        <v>249</v>
      </c>
      <c r="F18" s="292"/>
    </row>
    <row r="19" spans="1:6" ht="13.5">
      <c r="A19" s="79">
        <v>4620</v>
      </c>
      <c r="B19" s="120" t="s">
        <v>59</v>
      </c>
      <c r="C19" s="160">
        <v>16.5</v>
      </c>
      <c r="D19" s="120" t="s">
        <v>250</v>
      </c>
      <c r="F19" s="292"/>
    </row>
    <row r="20" spans="1:6" ht="13.5">
      <c r="A20" s="79">
        <v>3912</v>
      </c>
      <c r="B20" s="120" t="s">
        <v>111</v>
      </c>
      <c r="C20" s="160">
        <v>14.2</v>
      </c>
      <c r="D20" s="120" t="s">
        <v>251</v>
      </c>
      <c r="F20" s="292"/>
    </row>
    <row r="21" spans="1:6" ht="13.5">
      <c r="A21" s="79">
        <v>3831</v>
      </c>
      <c r="B21" s="120" t="s">
        <v>77</v>
      </c>
      <c r="C21" s="160">
        <v>21.8</v>
      </c>
      <c r="D21" s="120" t="s">
        <v>221</v>
      </c>
      <c r="F21" s="292"/>
    </row>
    <row r="22" spans="1:6" ht="13.5">
      <c r="A22" s="79">
        <v>1972</v>
      </c>
      <c r="B22" s="120" t="s">
        <v>118</v>
      </c>
      <c r="C22" s="160">
        <v>20</v>
      </c>
      <c r="D22" s="120" t="s">
        <v>257</v>
      </c>
      <c r="F22" s="292"/>
    </row>
    <row r="23" spans="1:6" ht="13.5">
      <c r="A23" s="79">
        <v>2991</v>
      </c>
      <c r="B23" s="120" t="s">
        <v>58</v>
      </c>
      <c r="C23" s="160">
        <v>7.1</v>
      </c>
      <c r="D23" s="120" t="s">
        <v>253</v>
      </c>
      <c r="F23" s="292"/>
    </row>
    <row r="24" spans="1:6" ht="13.5">
      <c r="A24" s="79">
        <v>3747</v>
      </c>
      <c r="B24" s="120" t="s">
        <v>119</v>
      </c>
      <c r="C24" s="160">
        <v>11.2</v>
      </c>
      <c r="D24" s="120" t="s">
        <v>256</v>
      </c>
      <c r="F24" s="292"/>
    </row>
    <row r="25" spans="1:6" ht="13.5">
      <c r="A25" s="79">
        <v>4949</v>
      </c>
      <c r="B25" s="120" t="s">
        <v>78</v>
      </c>
      <c r="C25" s="160">
        <v>12.9</v>
      </c>
      <c r="D25" s="120" t="s">
        <v>255</v>
      </c>
      <c r="F25" s="292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4" customFormat="1" ht="43.5" customHeight="1">
      <c r="B1" s="374" t="s">
        <v>92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2:14" s="4" customFormat="1" ht="29.25" customHeight="1">
      <c r="B2" s="375" t="s">
        <v>302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52</v>
      </c>
      <c r="F3" s="63" t="s">
        <v>6</v>
      </c>
      <c r="G3" s="64" t="s">
        <v>5</v>
      </c>
      <c r="H3" s="65" t="s">
        <v>51</v>
      </c>
      <c r="I3" s="66"/>
      <c r="J3" s="138" t="s">
        <v>6</v>
      </c>
      <c r="K3" s="134"/>
      <c r="L3" s="135"/>
      <c r="M3" s="136" t="s">
        <v>5</v>
      </c>
      <c r="N3" s="137" t="s">
        <v>4</v>
      </c>
    </row>
    <row r="4" spans="1:14" s="73" customFormat="1" ht="18" customHeight="1">
      <c r="A4" s="120" t="s">
        <v>71</v>
      </c>
      <c r="B4" s="160">
        <v>6.6</v>
      </c>
      <c r="C4" s="71">
        <v>37</v>
      </c>
      <c r="D4" s="77">
        <v>28</v>
      </c>
      <c r="E4" s="70"/>
      <c r="F4" s="71">
        <v>1</v>
      </c>
      <c r="G4" s="68">
        <v>10</v>
      </c>
      <c r="H4" s="72">
        <f>N4+I4</f>
        <v>1550000</v>
      </c>
      <c r="I4" s="85">
        <f aca="true" t="shared" si="0" ref="I4:I11">IF(E4&gt;0,$N$13,0)+IF(C4&gt;0,50000,0)+IF(C12&lt;0,50000,0)</f>
        <v>50000</v>
      </c>
      <c r="J4" s="87" t="s">
        <v>8</v>
      </c>
      <c r="K4" s="88"/>
      <c r="L4" s="89"/>
      <c r="M4" s="78">
        <v>10</v>
      </c>
      <c r="N4" s="72">
        <f>N12*25%</f>
        <v>1500000</v>
      </c>
    </row>
    <row r="5" spans="1:14" s="73" customFormat="1" ht="18" customHeight="1">
      <c r="A5" s="120" t="s">
        <v>72</v>
      </c>
      <c r="B5" s="160">
        <v>17.9</v>
      </c>
      <c r="C5" s="74">
        <v>26</v>
      </c>
      <c r="D5" s="69">
        <v>35</v>
      </c>
      <c r="E5" s="70"/>
      <c r="F5" s="71">
        <v>2</v>
      </c>
      <c r="G5" s="71">
        <v>8</v>
      </c>
      <c r="H5" s="72">
        <f>N5+I5</f>
        <v>1250000</v>
      </c>
      <c r="I5" s="85">
        <f t="shared" si="0"/>
        <v>50000</v>
      </c>
      <c r="J5" s="90" t="s">
        <v>9</v>
      </c>
      <c r="K5" s="91"/>
      <c r="L5" s="92"/>
      <c r="M5" s="75">
        <v>8</v>
      </c>
      <c r="N5" s="72">
        <f>N12*20%</f>
        <v>1200000</v>
      </c>
    </row>
    <row r="6" spans="1:14" s="73" customFormat="1" ht="18" customHeight="1">
      <c r="A6" s="120" t="s">
        <v>109</v>
      </c>
      <c r="B6" s="160">
        <v>14.7</v>
      </c>
      <c r="C6" s="71">
        <v>25</v>
      </c>
      <c r="D6" s="69">
        <v>35</v>
      </c>
      <c r="E6" s="174"/>
      <c r="F6" s="76">
        <v>3</v>
      </c>
      <c r="G6" s="76">
        <v>6</v>
      </c>
      <c r="H6" s="72">
        <f>N6+I6</f>
        <v>950000</v>
      </c>
      <c r="I6" s="85">
        <f t="shared" si="0"/>
        <v>50000</v>
      </c>
      <c r="J6" s="90" t="s">
        <v>10</v>
      </c>
      <c r="K6" s="91"/>
      <c r="L6" s="92"/>
      <c r="M6" s="75">
        <v>6</v>
      </c>
      <c r="N6" s="72">
        <f>N12*15%</f>
        <v>900000</v>
      </c>
    </row>
    <row r="7" spans="1:18" s="73" customFormat="1" ht="18" customHeight="1">
      <c r="A7" s="120" t="s">
        <v>60</v>
      </c>
      <c r="B7" s="160">
        <v>8.2</v>
      </c>
      <c r="C7" s="71">
        <v>21</v>
      </c>
      <c r="D7" s="77">
        <v>37</v>
      </c>
      <c r="E7" s="70"/>
      <c r="F7" s="71">
        <v>4</v>
      </c>
      <c r="G7" s="71">
        <v>5</v>
      </c>
      <c r="H7" s="72">
        <f>N7+I7</f>
        <v>770000</v>
      </c>
      <c r="I7" s="85">
        <f t="shared" si="0"/>
        <v>50000</v>
      </c>
      <c r="J7" s="90" t="s">
        <v>11</v>
      </c>
      <c r="K7" s="91"/>
      <c r="L7" s="92"/>
      <c r="M7" s="75">
        <v>5</v>
      </c>
      <c r="N7" s="72">
        <f>N12*12%</f>
        <v>720000</v>
      </c>
      <c r="O7" s="79"/>
      <c r="P7" s="79"/>
      <c r="Q7" s="79"/>
      <c r="R7" s="80"/>
    </row>
    <row r="8" spans="1:14" s="73" customFormat="1" ht="18" customHeight="1">
      <c r="A8" s="120" t="s">
        <v>74</v>
      </c>
      <c r="B8" s="160">
        <v>17.4</v>
      </c>
      <c r="C8" s="71">
        <v>20</v>
      </c>
      <c r="D8" s="69">
        <v>41</v>
      </c>
      <c r="E8" s="174"/>
      <c r="F8" s="71">
        <v>5</v>
      </c>
      <c r="G8" s="71">
        <v>4</v>
      </c>
      <c r="H8" s="72">
        <f>N8+I8</f>
        <v>650000</v>
      </c>
      <c r="I8" s="85">
        <f t="shared" si="0"/>
        <v>50000</v>
      </c>
      <c r="J8" s="90" t="s">
        <v>12</v>
      </c>
      <c r="K8" s="91"/>
      <c r="L8" s="92"/>
      <c r="M8" s="75">
        <v>4</v>
      </c>
      <c r="N8" s="72">
        <f>N12*10%</f>
        <v>600000</v>
      </c>
    </row>
    <row r="9" spans="1:14" s="73" customFormat="1" ht="18" customHeight="1">
      <c r="A9" s="120"/>
      <c r="B9" s="160"/>
      <c r="C9" s="71"/>
      <c r="D9" s="69"/>
      <c r="E9" s="174"/>
      <c r="F9" s="81"/>
      <c r="G9" s="81"/>
      <c r="H9" s="72"/>
      <c r="I9" s="85">
        <f t="shared" si="0"/>
        <v>0</v>
      </c>
      <c r="J9" s="90" t="s">
        <v>13</v>
      </c>
      <c r="K9" s="91"/>
      <c r="L9" s="92"/>
      <c r="M9" s="75">
        <v>3</v>
      </c>
      <c r="N9" s="72">
        <f>N12*8%</f>
        <v>480000</v>
      </c>
    </row>
    <row r="10" spans="1:14" s="73" customFormat="1" ht="18" customHeight="1">
      <c r="A10" s="120"/>
      <c r="B10" s="160"/>
      <c r="C10" s="71"/>
      <c r="D10" s="69"/>
      <c r="E10" s="70"/>
      <c r="F10" s="71"/>
      <c r="G10" s="71"/>
      <c r="H10" s="72"/>
      <c r="I10" s="85">
        <f t="shared" si="0"/>
        <v>0</v>
      </c>
      <c r="J10" s="90" t="s">
        <v>14</v>
      </c>
      <c r="K10" s="91"/>
      <c r="L10" s="92"/>
      <c r="M10" s="75">
        <v>2</v>
      </c>
      <c r="N10" s="72">
        <f>N12*6%</f>
        <v>360000</v>
      </c>
    </row>
    <row r="11" spans="1:14" s="73" customFormat="1" ht="18" customHeight="1">
      <c r="A11" s="120"/>
      <c r="B11" s="160"/>
      <c r="C11" s="71"/>
      <c r="D11" s="69"/>
      <c r="E11" s="70"/>
      <c r="F11" s="71"/>
      <c r="G11" s="71"/>
      <c r="H11" s="72"/>
      <c r="I11" s="85">
        <f t="shared" si="0"/>
        <v>0</v>
      </c>
      <c r="J11" s="90" t="s">
        <v>15</v>
      </c>
      <c r="K11" s="91"/>
      <c r="L11" s="92"/>
      <c r="M11" s="75">
        <v>1</v>
      </c>
      <c r="N11" s="72">
        <f>N12*4%</f>
        <v>240000</v>
      </c>
    </row>
    <row r="12" spans="1:14" s="73" customFormat="1" ht="18" customHeight="1">
      <c r="A12" s="120"/>
      <c r="B12" s="160"/>
      <c r="C12" s="74"/>
      <c r="D12" s="69"/>
      <c r="E12" s="70"/>
      <c r="F12" s="68"/>
      <c r="G12" s="71"/>
      <c r="H12" s="72"/>
      <c r="I12" s="85">
        <f aca="true" t="shared" si="1" ref="I12:I27">IF(E12&gt;0,$N$13,0)+IF(C12&gt;0,50000,0)+IF(C12&lt;0,50000,0)</f>
        <v>0</v>
      </c>
      <c r="J12" s="93" t="s">
        <v>3</v>
      </c>
      <c r="K12" s="91"/>
      <c r="L12" s="92"/>
      <c r="M12" s="75"/>
      <c r="N12" s="82">
        <v>6000000</v>
      </c>
    </row>
    <row r="13" spans="1:14" s="73" customFormat="1" ht="18" customHeight="1">
      <c r="A13" s="120"/>
      <c r="B13" s="160"/>
      <c r="C13" s="76"/>
      <c r="D13" s="77"/>
      <c r="E13" s="174"/>
      <c r="F13" s="71"/>
      <c r="G13" s="71"/>
      <c r="H13" s="72"/>
      <c r="I13" s="85">
        <f t="shared" si="1"/>
        <v>0</v>
      </c>
      <c r="J13" s="122" t="s">
        <v>62</v>
      </c>
      <c r="K13" s="123"/>
      <c r="L13" s="124"/>
      <c r="M13" s="125">
        <v>1</v>
      </c>
      <c r="N13" s="126">
        <f>N10</f>
        <v>360000</v>
      </c>
    </row>
    <row r="14" spans="1:14" s="73" customFormat="1" ht="18" customHeight="1">
      <c r="A14" s="120"/>
      <c r="B14" s="160"/>
      <c r="C14" s="77"/>
      <c r="D14" s="69"/>
      <c r="E14" s="70"/>
      <c r="F14" s="71"/>
      <c r="G14" s="71"/>
      <c r="H14" s="72"/>
      <c r="I14" s="85">
        <f t="shared" si="1"/>
        <v>0</v>
      </c>
      <c r="J14" s="131"/>
      <c r="K14" s="123"/>
      <c r="L14" s="123"/>
      <c r="M14" s="132"/>
      <c r="N14" s="133"/>
    </row>
    <row r="15" spans="1:14" s="73" customFormat="1" ht="18" customHeight="1">
      <c r="A15" s="120"/>
      <c r="B15" s="160"/>
      <c r="C15" s="71"/>
      <c r="D15" s="69"/>
      <c r="E15" s="174"/>
      <c r="F15" s="71"/>
      <c r="G15" s="71"/>
      <c r="H15" s="72"/>
      <c r="I15" s="85">
        <f t="shared" si="1"/>
        <v>0</v>
      </c>
      <c r="J15" s="127"/>
      <c r="K15" s="128"/>
      <c r="L15" s="128"/>
      <c r="M15" s="129"/>
      <c r="N15" s="130"/>
    </row>
    <row r="16" spans="1:9" s="73" customFormat="1" ht="18" customHeight="1">
      <c r="A16" s="120"/>
      <c r="B16" s="160"/>
      <c r="C16" s="71"/>
      <c r="D16" s="74"/>
      <c r="E16" s="174"/>
      <c r="F16" s="76"/>
      <c r="G16" s="76"/>
      <c r="H16" s="72"/>
      <c r="I16" s="85">
        <f t="shared" si="1"/>
        <v>0</v>
      </c>
    </row>
    <row r="17" spans="1:13" s="73" customFormat="1" ht="18" customHeight="1">
      <c r="A17" s="120"/>
      <c r="B17" s="176"/>
      <c r="C17" s="68"/>
      <c r="D17" s="77"/>
      <c r="E17" s="70"/>
      <c r="F17" s="76"/>
      <c r="G17" s="76"/>
      <c r="H17" s="72"/>
      <c r="I17" s="85">
        <f t="shared" si="1"/>
        <v>0</v>
      </c>
      <c r="J17" s="79"/>
      <c r="K17" s="79"/>
      <c r="L17" s="79"/>
      <c r="M17" s="80"/>
    </row>
    <row r="18" spans="1:13" s="73" customFormat="1" ht="18" customHeight="1">
      <c r="A18" s="120"/>
      <c r="B18" s="176"/>
      <c r="C18" s="71"/>
      <c r="D18" s="77"/>
      <c r="E18" s="174"/>
      <c r="F18" s="71"/>
      <c r="G18" s="71"/>
      <c r="H18" s="72"/>
      <c r="I18" s="85">
        <f t="shared" si="1"/>
        <v>0</v>
      </c>
      <c r="J18" s="80"/>
      <c r="K18" s="80"/>
      <c r="L18" s="80"/>
      <c r="M18" s="80"/>
    </row>
    <row r="19" spans="1:13" s="73" customFormat="1" ht="18" customHeight="1">
      <c r="A19" s="120"/>
      <c r="B19" s="176"/>
      <c r="C19" s="71"/>
      <c r="D19" s="69"/>
      <c r="E19" s="70"/>
      <c r="F19" s="71"/>
      <c r="G19" s="71"/>
      <c r="H19" s="72"/>
      <c r="I19" s="85">
        <f t="shared" si="1"/>
        <v>0</v>
      </c>
      <c r="J19" s="80"/>
      <c r="K19" s="80"/>
      <c r="L19" s="80"/>
      <c r="M19" s="80"/>
    </row>
    <row r="20" spans="1:9" s="4" customFormat="1" ht="18" customHeight="1">
      <c r="A20" s="120"/>
      <c r="B20" s="176"/>
      <c r="C20" s="74"/>
      <c r="D20" s="77"/>
      <c r="E20" s="70"/>
      <c r="F20" s="76"/>
      <c r="G20" s="76"/>
      <c r="H20" s="72"/>
      <c r="I20" s="85">
        <f t="shared" si="1"/>
        <v>0</v>
      </c>
    </row>
    <row r="21" spans="1:9" s="4" customFormat="1" ht="18" customHeight="1">
      <c r="A21" s="120"/>
      <c r="B21" s="176"/>
      <c r="C21" s="71"/>
      <c r="D21" s="77"/>
      <c r="E21" s="70"/>
      <c r="F21" s="76"/>
      <c r="G21" s="76"/>
      <c r="H21" s="72"/>
      <c r="I21" s="85">
        <f t="shared" si="1"/>
        <v>0</v>
      </c>
    </row>
    <row r="22" spans="1:9" s="4" customFormat="1" ht="18" customHeight="1">
      <c r="A22" s="120"/>
      <c r="B22" s="176"/>
      <c r="C22" s="76"/>
      <c r="D22" s="69"/>
      <c r="E22" s="70"/>
      <c r="F22" s="76"/>
      <c r="G22" s="76"/>
      <c r="H22" s="72"/>
      <c r="I22" s="85">
        <f t="shared" si="1"/>
        <v>0</v>
      </c>
    </row>
    <row r="23" spans="1:9" s="4" customFormat="1" ht="18" customHeight="1">
      <c r="A23" s="120"/>
      <c r="B23" s="176"/>
      <c r="C23" s="74"/>
      <c r="D23" s="69"/>
      <c r="E23" s="70"/>
      <c r="F23" s="76"/>
      <c r="G23" s="76"/>
      <c r="H23" s="72"/>
      <c r="I23" s="85">
        <f t="shared" si="1"/>
        <v>0</v>
      </c>
    </row>
    <row r="24" spans="1:9" s="4" customFormat="1" ht="18" customHeight="1">
      <c r="A24" s="120"/>
      <c r="B24" s="176"/>
      <c r="C24" s="74"/>
      <c r="D24" s="69"/>
      <c r="E24" s="70"/>
      <c r="F24" s="76"/>
      <c r="G24" s="76"/>
      <c r="H24" s="72"/>
      <c r="I24" s="85">
        <f t="shared" si="1"/>
        <v>0</v>
      </c>
    </row>
    <row r="25" spans="1:9" s="4" customFormat="1" ht="18" customHeight="1">
      <c r="A25" s="120"/>
      <c r="B25" s="176"/>
      <c r="C25" s="71"/>
      <c r="D25" s="69"/>
      <c r="E25" s="70"/>
      <c r="F25" s="76"/>
      <c r="G25" s="76"/>
      <c r="H25" s="72"/>
      <c r="I25" s="85">
        <f t="shared" si="1"/>
        <v>0</v>
      </c>
    </row>
    <row r="26" spans="1:9" s="4" customFormat="1" ht="18" customHeight="1">
      <c r="A26" s="120"/>
      <c r="B26" s="176"/>
      <c r="C26" s="74"/>
      <c r="D26" s="77"/>
      <c r="E26" s="174"/>
      <c r="F26" s="71"/>
      <c r="G26" s="71"/>
      <c r="H26" s="72"/>
      <c r="I26" s="85">
        <f t="shared" si="1"/>
        <v>0</v>
      </c>
    </row>
    <row r="27" spans="1:9" s="4" customFormat="1" ht="18" customHeight="1">
      <c r="A27" s="121"/>
      <c r="B27" s="67"/>
      <c r="C27" s="71"/>
      <c r="D27" s="69"/>
      <c r="E27" s="70"/>
      <c r="F27" s="71"/>
      <c r="G27" s="71"/>
      <c r="H27" s="72"/>
      <c r="I27" s="85">
        <f t="shared" si="1"/>
        <v>0</v>
      </c>
    </row>
    <row r="28" spans="1:9" ht="24" customHeight="1" thickBot="1">
      <c r="A28" s="1"/>
      <c r="B28" s="2"/>
      <c r="C28" s="3"/>
      <c r="D28" s="177">
        <f>SUM(D4:D27)</f>
        <v>176</v>
      </c>
      <c r="E28" s="3"/>
      <c r="F28" s="2"/>
      <c r="G28" s="178">
        <f>SUM(G4:G27)</f>
        <v>33</v>
      </c>
      <c r="H28" s="178">
        <f>SUM(H4:H27)</f>
        <v>5170000</v>
      </c>
      <c r="I28" s="86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4330708661417323" right="0.4330708661417323" top="0.5511811023622047" bottom="0.5511811023622047" header="0.31496062992125984" footer="0.31496062992125984"/>
  <pageSetup fitToHeight="1" fitToWidth="1" orientation="landscape" paperSize="9" scale="88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28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4" customFormat="1" ht="43.5" customHeight="1">
      <c r="B1" s="374" t="s">
        <v>91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2:14" s="4" customFormat="1" ht="29.25" customHeight="1">
      <c r="B2" s="375" t="s">
        <v>126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52</v>
      </c>
      <c r="F3" s="63" t="s">
        <v>6</v>
      </c>
      <c r="G3" s="64" t="s">
        <v>5</v>
      </c>
      <c r="H3" s="65" t="s">
        <v>51</v>
      </c>
      <c r="I3" s="66"/>
      <c r="J3" s="138" t="s">
        <v>6</v>
      </c>
      <c r="K3" s="134"/>
      <c r="L3" s="135"/>
      <c r="M3" s="136" t="s">
        <v>5</v>
      </c>
      <c r="N3" s="137" t="s">
        <v>4</v>
      </c>
    </row>
    <row r="4" spans="1:14" s="73" customFormat="1" ht="18" customHeight="1">
      <c r="A4" s="120" t="s">
        <v>65</v>
      </c>
      <c r="B4" s="160">
        <v>10.6</v>
      </c>
      <c r="C4" s="71">
        <v>35</v>
      </c>
      <c r="D4" s="74">
        <v>30</v>
      </c>
      <c r="E4" s="70">
        <v>3.14</v>
      </c>
      <c r="F4" s="71">
        <v>1</v>
      </c>
      <c r="G4" s="68">
        <v>10</v>
      </c>
      <c r="H4" s="72">
        <f aca="true" t="shared" si="0" ref="H4:H11">N4+I4</f>
        <v>2530000</v>
      </c>
      <c r="I4" s="85">
        <f aca="true" t="shared" si="1" ref="I4:I11">IF(E4&gt;0,$N$13,0)+IF(C4&gt;0,50000,0)+IF(C12&lt;0,50000,0)</f>
        <v>530000</v>
      </c>
      <c r="J4" s="87" t="s">
        <v>8</v>
      </c>
      <c r="K4" s="88"/>
      <c r="L4" s="89"/>
      <c r="M4" s="78">
        <v>10</v>
      </c>
      <c r="N4" s="72">
        <f>N12*25%</f>
        <v>2000000</v>
      </c>
    </row>
    <row r="5" spans="1:14" s="73" customFormat="1" ht="18" customHeight="1">
      <c r="A5" s="120" t="s">
        <v>78</v>
      </c>
      <c r="B5" s="160">
        <v>13.6</v>
      </c>
      <c r="C5" s="71">
        <v>34</v>
      </c>
      <c r="D5" s="69">
        <v>31</v>
      </c>
      <c r="E5" s="70"/>
      <c r="F5" s="71">
        <v>2</v>
      </c>
      <c r="G5" s="71">
        <v>8</v>
      </c>
      <c r="H5" s="72">
        <f t="shared" si="0"/>
        <v>1650000</v>
      </c>
      <c r="I5" s="85">
        <f t="shared" si="1"/>
        <v>50000</v>
      </c>
      <c r="J5" s="90" t="s">
        <v>9</v>
      </c>
      <c r="K5" s="91"/>
      <c r="L5" s="92"/>
      <c r="M5" s="75">
        <v>8</v>
      </c>
      <c r="N5" s="72">
        <f>N12*20%</f>
        <v>1600000</v>
      </c>
    </row>
    <row r="6" spans="1:14" s="73" customFormat="1" ht="18" customHeight="1">
      <c r="A6" s="120" t="s">
        <v>109</v>
      </c>
      <c r="B6" s="160">
        <v>14.7</v>
      </c>
      <c r="C6" s="71">
        <v>32</v>
      </c>
      <c r="D6" s="69">
        <v>29</v>
      </c>
      <c r="E6" s="174"/>
      <c r="F6" s="76">
        <v>3</v>
      </c>
      <c r="G6" s="76">
        <v>6</v>
      </c>
      <c r="H6" s="72">
        <f t="shared" si="0"/>
        <v>1250000</v>
      </c>
      <c r="I6" s="85">
        <f t="shared" si="1"/>
        <v>50000</v>
      </c>
      <c r="J6" s="90" t="s">
        <v>10</v>
      </c>
      <c r="K6" s="91"/>
      <c r="L6" s="92"/>
      <c r="M6" s="75">
        <v>6</v>
      </c>
      <c r="N6" s="72">
        <f>N12*15%</f>
        <v>1200000</v>
      </c>
    </row>
    <row r="7" spans="1:18" s="73" customFormat="1" ht="18" customHeight="1">
      <c r="A7" s="120" t="s">
        <v>110</v>
      </c>
      <c r="B7" s="160">
        <v>15.7</v>
      </c>
      <c r="C7" s="71">
        <v>30</v>
      </c>
      <c r="D7" s="77">
        <v>34</v>
      </c>
      <c r="E7" s="70"/>
      <c r="F7" s="71">
        <v>4</v>
      </c>
      <c r="G7" s="71">
        <v>5</v>
      </c>
      <c r="H7" s="72">
        <f t="shared" si="0"/>
        <v>1010000</v>
      </c>
      <c r="I7" s="85">
        <f t="shared" si="1"/>
        <v>50000</v>
      </c>
      <c r="J7" s="90" t="s">
        <v>11</v>
      </c>
      <c r="K7" s="91"/>
      <c r="L7" s="92"/>
      <c r="M7" s="75">
        <v>5</v>
      </c>
      <c r="N7" s="72">
        <f>N12*12%</f>
        <v>960000</v>
      </c>
      <c r="O7" s="79"/>
      <c r="P7" s="79"/>
      <c r="Q7" s="79"/>
      <c r="R7" s="80"/>
    </row>
    <row r="8" spans="1:14" s="73" customFormat="1" ht="18" customHeight="1">
      <c r="A8" s="120" t="s">
        <v>61</v>
      </c>
      <c r="B8" s="160">
        <v>22</v>
      </c>
      <c r="C8" s="76">
        <v>27</v>
      </c>
      <c r="D8" s="77">
        <v>38</v>
      </c>
      <c r="E8" s="70"/>
      <c r="F8" s="71">
        <v>5</v>
      </c>
      <c r="G8" s="71">
        <v>4</v>
      </c>
      <c r="H8" s="72">
        <f t="shared" si="0"/>
        <v>850000</v>
      </c>
      <c r="I8" s="85">
        <f t="shared" si="1"/>
        <v>50000</v>
      </c>
      <c r="J8" s="90" t="s">
        <v>12</v>
      </c>
      <c r="K8" s="91"/>
      <c r="L8" s="92"/>
      <c r="M8" s="75">
        <v>4</v>
      </c>
      <c r="N8" s="72">
        <f>N12*10%</f>
        <v>800000</v>
      </c>
    </row>
    <row r="9" spans="1:14" s="73" customFormat="1" ht="18" customHeight="1">
      <c r="A9" s="120" t="s">
        <v>58</v>
      </c>
      <c r="B9" s="160">
        <v>7.1</v>
      </c>
      <c r="C9" s="74">
        <v>25</v>
      </c>
      <c r="D9" s="69">
        <v>38</v>
      </c>
      <c r="E9" s="174"/>
      <c r="F9" s="81">
        <v>6</v>
      </c>
      <c r="G9" s="81">
        <v>3</v>
      </c>
      <c r="H9" s="72">
        <f t="shared" si="0"/>
        <v>690000</v>
      </c>
      <c r="I9" s="85">
        <f t="shared" si="1"/>
        <v>50000</v>
      </c>
      <c r="J9" s="90" t="s">
        <v>13</v>
      </c>
      <c r="K9" s="91"/>
      <c r="L9" s="92"/>
      <c r="M9" s="75">
        <v>3</v>
      </c>
      <c r="N9" s="72">
        <f>N12*8%</f>
        <v>640000</v>
      </c>
    </row>
    <row r="10" spans="1:14" s="73" customFormat="1" ht="18" customHeight="1">
      <c r="A10" s="120" t="s">
        <v>117</v>
      </c>
      <c r="B10" s="160">
        <v>13.2</v>
      </c>
      <c r="C10" s="71">
        <v>25</v>
      </c>
      <c r="D10" s="69">
        <v>36</v>
      </c>
      <c r="E10" s="174"/>
      <c r="F10" s="71">
        <v>7</v>
      </c>
      <c r="G10" s="71">
        <v>2</v>
      </c>
      <c r="H10" s="72">
        <f t="shared" si="0"/>
        <v>530000</v>
      </c>
      <c r="I10" s="85">
        <f t="shared" si="1"/>
        <v>50000</v>
      </c>
      <c r="J10" s="90" t="s">
        <v>14</v>
      </c>
      <c r="K10" s="91"/>
      <c r="L10" s="92"/>
      <c r="M10" s="75">
        <v>2</v>
      </c>
      <c r="N10" s="72">
        <f>N12*6%</f>
        <v>480000</v>
      </c>
    </row>
    <row r="11" spans="1:14" s="73" customFormat="1" ht="18" customHeight="1">
      <c r="A11" s="120" t="s">
        <v>74</v>
      </c>
      <c r="B11" s="160">
        <v>17.4</v>
      </c>
      <c r="C11" s="74">
        <v>25</v>
      </c>
      <c r="D11" s="77">
        <v>34</v>
      </c>
      <c r="E11" s="174"/>
      <c r="F11" s="71">
        <v>8</v>
      </c>
      <c r="G11" s="71">
        <v>1</v>
      </c>
      <c r="H11" s="72">
        <f t="shared" si="0"/>
        <v>370000</v>
      </c>
      <c r="I11" s="85">
        <f t="shared" si="1"/>
        <v>50000</v>
      </c>
      <c r="J11" s="90" t="s">
        <v>15</v>
      </c>
      <c r="K11" s="91"/>
      <c r="L11" s="92"/>
      <c r="M11" s="75">
        <v>1</v>
      </c>
      <c r="N11" s="72">
        <f>N12*4%</f>
        <v>320000</v>
      </c>
    </row>
    <row r="12" spans="1:14" s="73" customFormat="1" ht="18" customHeight="1">
      <c r="A12" s="120" t="s">
        <v>72</v>
      </c>
      <c r="B12" s="160">
        <v>17.9</v>
      </c>
      <c r="C12" s="71">
        <v>24</v>
      </c>
      <c r="D12" s="69">
        <v>39</v>
      </c>
      <c r="E12" s="174"/>
      <c r="F12" s="68"/>
      <c r="G12" s="71"/>
      <c r="H12" s="72">
        <f aca="true" t="shared" si="2" ref="H12:H27">I12</f>
        <v>50000</v>
      </c>
      <c r="I12" s="85">
        <f aca="true" t="shared" si="3" ref="I12:I27">IF(E12&gt;0,$N$13,0)+IF(C12&gt;0,50000,0)+IF(C12&lt;0,50000,0)</f>
        <v>50000</v>
      </c>
      <c r="J12" s="93" t="s">
        <v>3</v>
      </c>
      <c r="K12" s="91"/>
      <c r="L12" s="92"/>
      <c r="M12" s="75"/>
      <c r="N12" s="82">
        <v>8000000</v>
      </c>
    </row>
    <row r="13" spans="1:14" s="73" customFormat="1" ht="18" customHeight="1">
      <c r="A13" s="120" t="s">
        <v>59</v>
      </c>
      <c r="B13" s="160">
        <v>18.3</v>
      </c>
      <c r="C13" s="74">
        <v>24</v>
      </c>
      <c r="D13" s="69">
        <v>34</v>
      </c>
      <c r="E13" s="70"/>
      <c r="F13" s="71"/>
      <c r="G13" s="71"/>
      <c r="H13" s="72">
        <f t="shared" si="2"/>
        <v>50000</v>
      </c>
      <c r="I13" s="85">
        <f t="shared" si="3"/>
        <v>50000</v>
      </c>
      <c r="J13" s="122" t="s">
        <v>62</v>
      </c>
      <c r="K13" s="123"/>
      <c r="L13" s="124"/>
      <c r="M13" s="125">
        <v>1</v>
      </c>
      <c r="N13" s="126">
        <f>N10</f>
        <v>480000</v>
      </c>
    </row>
    <row r="14" spans="1:14" s="73" customFormat="1" ht="18" customHeight="1">
      <c r="A14" s="120" t="s">
        <v>71</v>
      </c>
      <c r="B14" s="160">
        <v>6.6</v>
      </c>
      <c r="C14" s="71"/>
      <c r="D14" s="69"/>
      <c r="E14" s="70"/>
      <c r="F14" s="71"/>
      <c r="G14" s="71"/>
      <c r="H14" s="72">
        <f t="shared" si="2"/>
        <v>0</v>
      </c>
      <c r="I14" s="85">
        <f t="shared" si="3"/>
        <v>0</v>
      </c>
      <c r="J14" s="131"/>
      <c r="K14" s="123"/>
      <c r="L14" s="123"/>
      <c r="M14" s="132"/>
      <c r="N14" s="133"/>
    </row>
    <row r="15" spans="1:14" s="73" customFormat="1" ht="18" customHeight="1">
      <c r="A15" s="120" t="s">
        <v>60</v>
      </c>
      <c r="B15" s="160">
        <v>8.2</v>
      </c>
      <c r="C15" s="74"/>
      <c r="D15" s="69"/>
      <c r="E15" s="174"/>
      <c r="F15" s="71"/>
      <c r="G15" s="71"/>
      <c r="H15" s="72">
        <f t="shared" si="2"/>
        <v>0</v>
      </c>
      <c r="I15" s="85">
        <f t="shared" si="3"/>
        <v>0</v>
      </c>
      <c r="J15" s="127"/>
      <c r="K15" s="128"/>
      <c r="L15" s="128"/>
      <c r="M15" s="129"/>
      <c r="N15" s="130"/>
    </row>
    <row r="16" spans="1:9" s="73" customFormat="1" ht="18" customHeight="1">
      <c r="A16" s="120" t="s">
        <v>119</v>
      </c>
      <c r="B16" s="160">
        <v>11.8</v>
      </c>
      <c r="C16" s="74"/>
      <c r="D16" s="77"/>
      <c r="E16" s="174"/>
      <c r="F16" s="76"/>
      <c r="G16" s="76"/>
      <c r="H16" s="72">
        <f t="shared" si="2"/>
        <v>0</v>
      </c>
      <c r="I16" s="85">
        <f t="shared" si="3"/>
        <v>0</v>
      </c>
    </row>
    <row r="17" spans="1:13" s="73" customFormat="1" ht="18" customHeight="1">
      <c r="A17" s="120" t="s">
        <v>76</v>
      </c>
      <c r="B17" s="160">
        <v>12.1</v>
      </c>
      <c r="C17" s="71"/>
      <c r="D17" s="69"/>
      <c r="E17" s="70"/>
      <c r="F17" s="76"/>
      <c r="G17" s="76"/>
      <c r="H17" s="72">
        <f t="shared" si="2"/>
        <v>0</v>
      </c>
      <c r="I17" s="85">
        <f t="shared" si="3"/>
        <v>0</v>
      </c>
      <c r="J17" s="79"/>
      <c r="K17" s="79"/>
      <c r="L17" s="79"/>
      <c r="M17" s="80"/>
    </row>
    <row r="18" spans="1:13" s="73" customFormat="1" ht="18" customHeight="1">
      <c r="A18" s="120" t="s">
        <v>111</v>
      </c>
      <c r="B18" s="160">
        <v>14</v>
      </c>
      <c r="C18" s="74"/>
      <c r="D18" s="69"/>
      <c r="E18" s="70"/>
      <c r="F18" s="71"/>
      <c r="G18" s="71"/>
      <c r="H18" s="72">
        <f t="shared" si="2"/>
        <v>0</v>
      </c>
      <c r="I18" s="85">
        <f t="shared" si="3"/>
        <v>0</v>
      </c>
      <c r="J18" s="80"/>
      <c r="K18" s="80"/>
      <c r="L18" s="80"/>
      <c r="M18" s="80"/>
    </row>
    <row r="19" spans="1:13" s="73" customFormat="1" ht="18" customHeight="1">
      <c r="A19" s="120" t="s">
        <v>115</v>
      </c>
      <c r="B19" s="160">
        <v>14.2</v>
      </c>
      <c r="C19" s="71"/>
      <c r="D19" s="69"/>
      <c r="E19" s="174"/>
      <c r="F19" s="71"/>
      <c r="G19" s="71"/>
      <c r="H19" s="72">
        <f t="shared" si="2"/>
        <v>0</v>
      </c>
      <c r="I19" s="85">
        <f t="shared" si="3"/>
        <v>0</v>
      </c>
      <c r="J19" s="80"/>
      <c r="K19" s="80"/>
      <c r="L19" s="80"/>
      <c r="M19" s="80"/>
    </row>
    <row r="20" spans="1:9" s="4" customFormat="1" ht="18" customHeight="1">
      <c r="A20" s="120" t="s">
        <v>73</v>
      </c>
      <c r="B20" s="160">
        <v>14.8</v>
      </c>
      <c r="C20" s="68"/>
      <c r="D20" s="77"/>
      <c r="E20" s="70"/>
      <c r="F20" s="76"/>
      <c r="G20" s="76"/>
      <c r="H20" s="72">
        <f t="shared" si="2"/>
        <v>0</v>
      </c>
      <c r="I20" s="85">
        <f t="shared" si="3"/>
        <v>0</v>
      </c>
    </row>
    <row r="21" spans="1:9" s="4" customFormat="1" ht="18" customHeight="1">
      <c r="A21" s="120" t="s">
        <v>326</v>
      </c>
      <c r="B21" s="160">
        <v>15.2</v>
      </c>
      <c r="C21" s="71"/>
      <c r="D21" s="69"/>
      <c r="E21" s="70"/>
      <c r="F21" s="76"/>
      <c r="G21" s="76"/>
      <c r="H21" s="72">
        <f t="shared" si="2"/>
        <v>0</v>
      </c>
      <c r="I21" s="85">
        <f t="shared" si="3"/>
        <v>0</v>
      </c>
    </row>
    <row r="22" spans="1:9" s="4" customFormat="1" ht="18" customHeight="1">
      <c r="A22" s="120" t="s">
        <v>75</v>
      </c>
      <c r="B22" s="160">
        <v>16.4</v>
      </c>
      <c r="C22" s="71"/>
      <c r="D22" s="77"/>
      <c r="E22" s="70"/>
      <c r="F22" s="76"/>
      <c r="G22" s="76"/>
      <c r="H22" s="72">
        <f t="shared" si="2"/>
        <v>0</v>
      </c>
      <c r="I22" s="85">
        <f t="shared" si="3"/>
        <v>0</v>
      </c>
    </row>
    <row r="23" spans="1:9" s="4" customFormat="1" ht="18" customHeight="1">
      <c r="A23" s="120" t="s">
        <v>70</v>
      </c>
      <c r="B23" s="160">
        <v>16.6</v>
      </c>
      <c r="C23" s="76"/>
      <c r="D23" s="69"/>
      <c r="E23" s="70"/>
      <c r="F23" s="76"/>
      <c r="G23" s="76"/>
      <c r="H23" s="72">
        <f t="shared" si="2"/>
        <v>0</v>
      </c>
      <c r="I23" s="85">
        <f t="shared" si="3"/>
        <v>0</v>
      </c>
    </row>
    <row r="24" spans="1:9" s="4" customFormat="1" ht="18" customHeight="1">
      <c r="A24" s="120" t="s">
        <v>116</v>
      </c>
      <c r="B24" s="160">
        <v>17.3</v>
      </c>
      <c r="C24" s="77"/>
      <c r="D24" s="69"/>
      <c r="E24" s="70"/>
      <c r="F24" s="76"/>
      <c r="G24" s="76"/>
      <c r="H24" s="72">
        <f t="shared" si="2"/>
        <v>0</v>
      </c>
      <c r="I24" s="85">
        <f t="shared" si="3"/>
        <v>0</v>
      </c>
    </row>
    <row r="25" spans="1:9" s="4" customFormat="1" ht="18" customHeight="1">
      <c r="A25" s="120" t="s">
        <v>118</v>
      </c>
      <c r="B25" s="160">
        <v>20</v>
      </c>
      <c r="C25" s="71"/>
      <c r="D25" s="69"/>
      <c r="E25" s="70"/>
      <c r="F25" s="76"/>
      <c r="G25" s="76"/>
      <c r="H25" s="72">
        <f t="shared" si="2"/>
        <v>0</v>
      </c>
      <c r="I25" s="85">
        <f t="shared" si="3"/>
        <v>0</v>
      </c>
    </row>
    <row r="26" spans="1:9" s="4" customFormat="1" ht="18" customHeight="1">
      <c r="A26" s="120" t="s">
        <v>77</v>
      </c>
      <c r="B26" s="160">
        <v>22.8</v>
      </c>
      <c r="C26" s="71"/>
      <c r="D26" s="77"/>
      <c r="E26" s="70"/>
      <c r="F26" s="71"/>
      <c r="G26" s="71"/>
      <c r="H26" s="72">
        <f t="shared" si="2"/>
        <v>0</v>
      </c>
      <c r="I26" s="85">
        <f t="shared" si="3"/>
        <v>0</v>
      </c>
    </row>
    <row r="27" spans="1:9" s="4" customFormat="1" ht="18" customHeight="1">
      <c r="A27" s="120" t="s">
        <v>66</v>
      </c>
      <c r="B27" s="160">
        <v>24.6</v>
      </c>
      <c r="C27" s="71"/>
      <c r="D27" s="77"/>
      <c r="E27" s="70"/>
      <c r="F27" s="71"/>
      <c r="G27" s="71"/>
      <c r="H27" s="72">
        <f t="shared" si="2"/>
        <v>0</v>
      </c>
      <c r="I27" s="85">
        <f t="shared" si="3"/>
        <v>0</v>
      </c>
    </row>
    <row r="28" spans="1:9" ht="24" customHeight="1" thickBot="1">
      <c r="A28" s="1"/>
      <c r="B28" s="2"/>
      <c r="C28" s="3"/>
      <c r="D28" s="177">
        <f>SUM(D4:D27)</f>
        <v>343</v>
      </c>
      <c r="E28" s="3"/>
      <c r="F28" s="2"/>
      <c r="G28" s="178">
        <f>SUM(G4:G27)</f>
        <v>39</v>
      </c>
      <c r="H28" s="178">
        <f>SUM(H4:H27)</f>
        <v>8980000</v>
      </c>
      <c r="I28" s="86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4330708661417323" right="0.4330708661417323" top="0.5511811023622047" bottom="0.5511811023622047" header="0.31496062992125984" footer="0.31496062992125984"/>
  <pageSetup fitToHeight="1" fitToWidth="1" orientation="landscape" paperSize="9" scale="88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28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4" customFormat="1" ht="43.5" customHeight="1">
      <c r="B1" s="374" t="s">
        <v>90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2:14" s="4" customFormat="1" ht="29.25" customHeight="1">
      <c r="B2" s="375" t="s">
        <v>125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52</v>
      </c>
      <c r="F3" s="63" t="s">
        <v>6</v>
      </c>
      <c r="G3" s="64" t="s">
        <v>5</v>
      </c>
      <c r="H3" s="65" t="s">
        <v>51</v>
      </c>
      <c r="I3" s="66"/>
      <c r="J3" s="138" t="s">
        <v>6</v>
      </c>
      <c r="K3" s="134"/>
      <c r="L3" s="135"/>
      <c r="M3" s="136" t="s">
        <v>5</v>
      </c>
      <c r="N3" s="137" t="s">
        <v>4</v>
      </c>
    </row>
    <row r="4" spans="1:14" s="73" customFormat="1" ht="18" customHeight="1">
      <c r="A4" s="120" t="s">
        <v>58</v>
      </c>
      <c r="B4" s="160">
        <v>7.1</v>
      </c>
      <c r="C4" s="76">
        <v>69</v>
      </c>
      <c r="D4" s="69">
        <v>26</v>
      </c>
      <c r="E4" s="70"/>
      <c r="F4" s="71">
        <v>1</v>
      </c>
      <c r="G4" s="68">
        <v>10</v>
      </c>
      <c r="H4" s="72">
        <f aca="true" t="shared" si="0" ref="H4:H11">N4+I4</f>
        <v>1550000</v>
      </c>
      <c r="I4" s="85">
        <f aca="true" t="shared" si="1" ref="I4:I11">IF(E4&gt;0,$N$13,0)+IF(C4&gt;0,50000,0)+IF(C12&lt;0,50000,0)</f>
        <v>50000</v>
      </c>
      <c r="J4" s="87" t="s">
        <v>8</v>
      </c>
      <c r="K4" s="88"/>
      <c r="L4" s="89"/>
      <c r="M4" s="78">
        <v>10</v>
      </c>
      <c r="N4" s="72">
        <f>N12*25%</f>
        <v>1500000</v>
      </c>
    </row>
    <row r="5" spans="1:14" s="73" customFormat="1" ht="18" customHeight="1">
      <c r="A5" s="120" t="s">
        <v>109</v>
      </c>
      <c r="B5" s="160">
        <v>14.7</v>
      </c>
      <c r="C5" s="71">
        <v>72</v>
      </c>
      <c r="D5" s="69">
        <v>32</v>
      </c>
      <c r="E5" s="174">
        <v>10.4</v>
      </c>
      <c r="F5" s="71">
        <v>2</v>
      </c>
      <c r="G5" s="71">
        <v>8</v>
      </c>
      <c r="H5" s="72">
        <f t="shared" si="0"/>
        <v>1610000</v>
      </c>
      <c r="I5" s="85">
        <f t="shared" si="1"/>
        <v>410000</v>
      </c>
      <c r="J5" s="90" t="s">
        <v>9</v>
      </c>
      <c r="K5" s="91"/>
      <c r="L5" s="92"/>
      <c r="M5" s="75">
        <v>8</v>
      </c>
      <c r="N5" s="72">
        <f>N12*20%</f>
        <v>1200000</v>
      </c>
    </row>
    <row r="6" spans="1:14" s="73" customFormat="1" ht="18" customHeight="1">
      <c r="A6" s="120" t="s">
        <v>115</v>
      </c>
      <c r="B6" s="160">
        <v>14.2</v>
      </c>
      <c r="C6" s="71">
        <v>73</v>
      </c>
      <c r="D6" s="77">
        <v>26</v>
      </c>
      <c r="E6" s="70"/>
      <c r="F6" s="76">
        <v>3</v>
      </c>
      <c r="G6" s="76">
        <v>6</v>
      </c>
      <c r="H6" s="72">
        <f t="shared" si="0"/>
        <v>950000</v>
      </c>
      <c r="I6" s="85">
        <f t="shared" si="1"/>
        <v>50000</v>
      </c>
      <c r="J6" s="90" t="s">
        <v>10</v>
      </c>
      <c r="K6" s="91"/>
      <c r="L6" s="92"/>
      <c r="M6" s="75">
        <v>6</v>
      </c>
      <c r="N6" s="72">
        <f>N12*15%</f>
        <v>900000</v>
      </c>
    </row>
    <row r="7" spans="1:18" s="73" customFormat="1" ht="18" customHeight="1">
      <c r="A7" s="120" t="s">
        <v>65</v>
      </c>
      <c r="B7" s="160">
        <v>10.6</v>
      </c>
      <c r="C7" s="71">
        <v>74</v>
      </c>
      <c r="D7" s="69">
        <v>30</v>
      </c>
      <c r="E7" s="174"/>
      <c r="F7" s="71">
        <v>4</v>
      </c>
      <c r="G7" s="71">
        <v>5</v>
      </c>
      <c r="H7" s="72">
        <f t="shared" si="0"/>
        <v>770000</v>
      </c>
      <c r="I7" s="85">
        <f t="shared" si="1"/>
        <v>50000</v>
      </c>
      <c r="J7" s="90" t="s">
        <v>11</v>
      </c>
      <c r="K7" s="91"/>
      <c r="L7" s="92"/>
      <c r="M7" s="75">
        <v>5</v>
      </c>
      <c r="N7" s="72">
        <f>N12*12%</f>
        <v>720000</v>
      </c>
      <c r="O7" s="79"/>
      <c r="P7" s="79"/>
      <c r="Q7" s="79"/>
      <c r="R7" s="80"/>
    </row>
    <row r="8" spans="1:14" s="73" customFormat="1" ht="18" customHeight="1">
      <c r="A8" s="120" t="s">
        <v>110</v>
      </c>
      <c r="B8" s="160">
        <v>15.7</v>
      </c>
      <c r="C8" s="76">
        <v>76</v>
      </c>
      <c r="D8" s="77">
        <v>32</v>
      </c>
      <c r="E8" s="70"/>
      <c r="F8" s="71">
        <v>5</v>
      </c>
      <c r="G8" s="71">
        <v>4</v>
      </c>
      <c r="H8" s="72">
        <f t="shared" si="0"/>
        <v>650000</v>
      </c>
      <c r="I8" s="85">
        <f t="shared" si="1"/>
        <v>50000</v>
      </c>
      <c r="J8" s="90" t="s">
        <v>12</v>
      </c>
      <c r="K8" s="91"/>
      <c r="L8" s="92"/>
      <c r="M8" s="75">
        <v>4</v>
      </c>
      <c r="N8" s="72">
        <f>N12*10%</f>
        <v>600000</v>
      </c>
    </row>
    <row r="9" spans="1:14" s="73" customFormat="1" ht="18" customHeight="1">
      <c r="A9" s="120" t="s">
        <v>59</v>
      </c>
      <c r="B9" s="160">
        <v>18.3</v>
      </c>
      <c r="C9" s="74">
        <v>77</v>
      </c>
      <c r="D9" s="69">
        <v>33</v>
      </c>
      <c r="E9" s="174"/>
      <c r="F9" s="81">
        <v>6</v>
      </c>
      <c r="G9" s="81">
        <v>3</v>
      </c>
      <c r="H9" s="72">
        <f t="shared" si="0"/>
        <v>530000</v>
      </c>
      <c r="I9" s="85">
        <f t="shared" si="1"/>
        <v>50000</v>
      </c>
      <c r="J9" s="90" t="s">
        <v>13</v>
      </c>
      <c r="K9" s="91"/>
      <c r="L9" s="92"/>
      <c r="M9" s="75">
        <v>3</v>
      </c>
      <c r="N9" s="72">
        <f>N12*8%</f>
        <v>480000</v>
      </c>
    </row>
    <row r="10" spans="1:14" s="73" customFormat="1" ht="18" customHeight="1">
      <c r="A10" s="120" t="s">
        <v>77</v>
      </c>
      <c r="B10" s="160">
        <v>22.8</v>
      </c>
      <c r="C10" s="71">
        <v>80</v>
      </c>
      <c r="D10" s="69">
        <v>34</v>
      </c>
      <c r="E10" s="70"/>
      <c r="F10" s="71">
        <v>7</v>
      </c>
      <c r="G10" s="71">
        <v>2</v>
      </c>
      <c r="H10" s="72">
        <f t="shared" si="0"/>
        <v>410000</v>
      </c>
      <c r="I10" s="85">
        <f t="shared" si="1"/>
        <v>50000</v>
      </c>
      <c r="J10" s="90" t="s">
        <v>14</v>
      </c>
      <c r="K10" s="91"/>
      <c r="L10" s="92"/>
      <c r="M10" s="75">
        <v>2</v>
      </c>
      <c r="N10" s="72">
        <f>N12*6%</f>
        <v>360000</v>
      </c>
    </row>
    <row r="11" spans="1:14" s="73" customFormat="1" ht="18" customHeight="1">
      <c r="A11" s="120" t="s">
        <v>74</v>
      </c>
      <c r="B11" s="160">
        <v>17.4</v>
      </c>
      <c r="C11" s="68">
        <v>81</v>
      </c>
      <c r="D11" s="77">
        <v>30</v>
      </c>
      <c r="E11" s="70"/>
      <c r="F11" s="71">
        <v>8</v>
      </c>
      <c r="G11" s="71">
        <v>1</v>
      </c>
      <c r="H11" s="72">
        <f t="shared" si="0"/>
        <v>290000</v>
      </c>
      <c r="I11" s="85">
        <f t="shared" si="1"/>
        <v>50000</v>
      </c>
      <c r="J11" s="90" t="s">
        <v>15</v>
      </c>
      <c r="K11" s="91"/>
      <c r="L11" s="92"/>
      <c r="M11" s="75">
        <v>1</v>
      </c>
      <c r="N11" s="72">
        <f>N12*4%</f>
        <v>240000</v>
      </c>
    </row>
    <row r="12" spans="1:14" s="73" customFormat="1" ht="18" customHeight="1">
      <c r="A12" s="120" t="s">
        <v>118</v>
      </c>
      <c r="B12" s="160">
        <v>20</v>
      </c>
      <c r="C12" s="74">
        <v>81</v>
      </c>
      <c r="D12" s="69">
        <v>34</v>
      </c>
      <c r="E12" s="174"/>
      <c r="F12" s="68"/>
      <c r="G12" s="71"/>
      <c r="H12" s="72">
        <f aca="true" t="shared" si="2" ref="H12:H27">I12</f>
        <v>50000</v>
      </c>
      <c r="I12" s="85">
        <f aca="true" t="shared" si="3" ref="I12:I27">IF(E12&gt;0,$N$13,0)+IF(C12&gt;0,50000,0)+IF(C12&lt;0,50000,0)</f>
        <v>50000</v>
      </c>
      <c r="J12" s="93" t="s">
        <v>3</v>
      </c>
      <c r="K12" s="91"/>
      <c r="L12" s="92"/>
      <c r="M12" s="75"/>
      <c r="N12" s="82">
        <v>6000000</v>
      </c>
    </row>
    <row r="13" spans="1:14" s="73" customFormat="1" ht="18" customHeight="1">
      <c r="A13" s="120" t="s">
        <v>60</v>
      </c>
      <c r="B13" s="160">
        <v>8.2</v>
      </c>
      <c r="C13" s="74">
        <v>85</v>
      </c>
      <c r="D13" s="69">
        <v>32</v>
      </c>
      <c r="E13" s="70"/>
      <c r="F13" s="71"/>
      <c r="G13" s="71"/>
      <c r="H13" s="72">
        <f t="shared" si="2"/>
        <v>50000</v>
      </c>
      <c r="I13" s="85">
        <f t="shared" si="3"/>
        <v>50000</v>
      </c>
      <c r="J13" s="122" t="s">
        <v>62</v>
      </c>
      <c r="K13" s="123"/>
      <c r="L13" s="124"/>
      <c r="M13" s="125">
        <v>1</v>
      </c>
      <c r="N13" s="126">
        <f>N10</f>
        <v>360000</v>
      </c>
    </row>
    <row r="14" spans="1:14" s="73" customFormat="1" ht="18" customHeight="1">
      <c r="A14" s="120"/>
      <c r="B14" s="160"/>
      <c r="C14" s="71"/>
      <c r="D14" s="77"/>
      <c r="E14" s="70"/>
      <c r="F14" s="71"/>
      <c r="G14" s="71"/>
      <c r="H14" s="72">
        <f t="shared" si="2"/>
        <v>0</v>
      </c>
      <c r="I14" s="85">
        <f t="shared" si="3"/>
        <v>0</v>
      </c>
      <c r="J14" s="131"/>
      <c r="K14" s="123"/>
      <c r="L14" s="123"/>
      <c r="M14" s="132"/>
      <c r="N14" s="133"/>
    </row>
    <row r="15" spans="1:14" s="73" customFormat="1" ht="18" customHeight="1">
      <c r="A15" s="120"/>
      <c r="B15" s="160"/>
      <c r="C15" s="71"/>
      <c r="D15" s="69"/>
      <c r="E15" s="70"/>
      <c r="F15" s="71"/>
      <c r="G15" s="71"/>
      <c r="H15" s="72">
        <f t="shared" si="2"/>
        <v>0</v>
      </c>
      <c r="I15" s="85">
        <f t="shared" si="3"/>
        <v>0</v>
      </c>
      <c r="J15" s="127"/>
      <c r="K15" s="128"/>
      <c r="L15" s="128"/>
      <c r="M15" s="129"/>
      <c r="N15" s="130"/>
    </row>
    <row r="16" spans="1:9" s="73" customFormat="1" ht="18" customHeight="1">
      <c r="A16" s="120"/>
      <c r="B16" s="160"/>
      <c r="C16" s="71"/>
      <c r="D16" s="69"/>
      <c r="E16" s="174"/>
      <c r="F16" s="76"/>
      <c r="G16" s="76"/>
      <c r="H16" s="72">
        <f t="shared" si="2"/>
        <v>0</v>
      </c>
      <c r="I16" s="85">
        <f t="shared" si="3"/>
        <v>0</v>
      </c>
    </row>
    <row r="17" spans="1:18" s="73" customFormat="1" ht="18" customHeight="1">
      <c r="A17" s="120"/>
      <c r="B17" s="160"/>
      <c r="C17" s="71"/>
      <c r="D17" s="74"/>
      <c r="E17" s="70"/>
      <c r="F17" s="76"/>
      <c r="G17" s="76"/>
      <c r="H17" s="72">
        <f t="shared" si="2"/>
        <v>0</v>
      </c>
      <c r="I17" s="85">
        <f t="shared" si="3"/>
        <v>0</v>
      </c>
      <c r="O17" s="79"/>
      <c r="P17" s="79"/>
      <c r="Q17" s="79"/>
      <c r="R17" s="80"/>
    </row>
    <row r="18" spans="1:12" s="73" customFormat="1" ht="18" customHeight="1">
      <c r="A18" s="120"/>
      <c r="B18" s="160"/>
      <c r="C18" s="71"/>
      <c r="D18" s="69"/>
      <c r="E18" s="174"/>
      <c r="F18" s="71"/>
      <c r="G18" s="71"/>
      <c r="H18" s="72">
        <f t="shared" si="2"/>
        <v>0</v>
      </c>
      <c r="I18" s="85">
        <f t="shared" si="3"/>
        <v>0</v>
      </c>
      <c r="J18" s="80"/>
      <c r="K18" s="80"/>
      <c r="L18" s="80"/>
    </row>
    <row r="19" spans="1:12" s="73" customFormat="1" ht="18" customHeight="1">
      <c r="A19" s="120"/>
      <c r="B19" s="160"/>
      <c r="C19" s="77"/>
      <c r="D19" s="69"/>
      <c r="E19" s="70"/>
      <c r="F19" s="71"/>
      <c r="G19" s="71"/>
      <c r="H19" s="72">
        <f t="shared" si="2"/>
        <v>0</v>
      </c>
      <c r="I19" s="85">
        <f t="shared" si="3"/>
        <v>0</v>
      </c>
      <c r="J19" s="80"/>
      <c r="K19" s="80"/>
      <c r="L19" s="80"/>
    </row>
    <row r="20" spans="1:9" s="4" customFormat="1" ht="18" customHeight="1">
      <c r="A20" s="120"/>
      <c r="B20" s="160"/>
      <c r="C20" s="71"/>
      <c r="D20" s="69"/>
      <c r="E20" s="70"/>
      <c r="F20" s="76"/>
      <c r="G20" s="76"/>
      <c r="H20" s="72">
        <f t="shared" si="2"/>
        <v>0</v>
      </c>
      <c r="I20" s="85">
        <f t="shared" si="3"/>
        <v>0</v>
      </c>
    </row>
    <row r="21" spans="1:9" s="4" customFormat="1" ht="18" customHeight="1">
      <c r="A21" s="120"/>
      <c r="B21" s="160"/>
      <c r="C21" s="74"/>
      <c r="D21" s="77"/>
      <c r="E21" s="174"/>
      <c r="F21" s="76"/>
      <c r="G21" s="76"/>
      <c r="H21" s="72">
        <f t="shared" si="2"/>
        <v>0</v>
      </c>
      <c r="I21" s="85">
        <f t="shared" si="3"/>
        <v>0</v>
      </c>
    </row>
    <row r="22" spans="1:9" s="4" customFormat="1" ht="18" customHeight="1">
      <c r="A22" s="120"/>
      <c r="B22" s="160"/>
      <c r="C22" s="71"/>
      <c r="D22" s="77"/>
      <c r="E22" s="70"/>
      <c r="F22" s="76"/>
      <c r="G22" s="76"/>
      <c r="H22" s="72">
        <f t="shared" si="2"/>
        <v>0</v>
      </c>
      <c r="I22" s="85">
        <f t="shared" si="3"/>
        <v>0</v>
      </c>
    </row>
    <row r="23" spans="1:9" s="4" customFormat="1" ht="18" customHeight="1">
      <c r="A23" s="120"/>
      <c r="B23" s="160"/>
      <c r="C23" s="74"/>
      <c r="D23" s="69"/>
      <c r="E23" s="70"/>
      <c r="F23" s="76"/>
      <c r="G23" s="76"/>
      <c r="H23" s="72">
        <f t="shared" si="2"/>
        <v>0</v>
      </c>
      <c r="I23" s="85">
        <f t="shared" si="3"/>
        <v>0</v>
      </c>
    </row>
    <row r="24" spans="1:9" s="4" customFormat="1" ht="18" customHeight="1">
      <c r="A24" s="120"/>
      <c r="B24" s="160"/>
      <c r="C24" s="71"/>
      <c r="D24" s="77"/>
      <c r="E24" s="70"/>
      <c r="F24" s="76"/>
      <c r="G24" s="76"/>
      <c r="H24" s="72">
        <f t="shared" si="2"/>
        <v>0</v>
      </c>
      <c r="I24" s="85">
        <f t="shared" si="3"/>
        <v>0</v>
      </c>
    </row>
    <row r="25" spans="1:9" s="4" customFormat="1" ht="18" customHeight="1">
      <c r="A25" s="120"/>
      <c r="B25" s="176"/>
      <c r="C25" s="71"/>
      <c r="D25" s="69"/>
      <c r="E25" s="70"/>
      <c r="F25" s="76"/>
      <c r="G25" s="76"/>
      <c r="H25" s="72">
        <f t="shared" si="2"/>
        <v>0</v>
      </c>
      <c r="I25" s="85">
        <f t="shared" si="3"/>
        <v>0</v>
      </c>
    </row>
    <row r="26" spans="1:9" s="4" customFormat="1" ht="18" customHeight="1">
      <c r="A26" s="120"/>
      <c r="B26" s="176"/>
      <c r="C26" s="74"/>
      <c r="D26" s="77"/>
      <c r="E26" s="174"/>
      <c r="F26" s="71"/>
      <c r="G26" s="71"/>
      <c r="H26" s="72">
        <f t="shared" si="2"/>
        <v>0</v>
      </c>
      <c r="I26" s="85">
        <f t="shared" si="3"/>
        <v>0</v>
      </c>
    </row>
    <row r="27" spans="1:9" s="4" customFormat="1" ht="18" customHeight="1">
      <c r="A27" s="121"/>
      <c r="B27" s="67"/>
      <c r="C27" s="71"/>
      <c r="D27" s="69"/>
      <c r="E27" s="70"/>
      <c r="F27" s="71"/>
      <c r="G27" s="71"/>
      <c r="H27" s="72">
        <f t="shared" si="2"/>
        <v>0</v>
      </c>
      <c r="I27" s="85">
        <f t="shared" si="3"/>
        <v>0</v>
      </c>
    </row>
    <row r="28" spans="1:9" ht="24" customHeight="1" thickBot="1">
      <c r="A28" s="1"/>
      <c r="B28" s="2"/>
      <c r="C28" s="3"/>
      <c r="D28" s="177">
        <f>SUM(D4:D27)</f>
        <v>309</v>
      </c>
      <c r="E28" s="3"/>
      <c r="F28" s="2"/>
      <c r="G28" s="178">
        <f>SUM(G4:G27)</f>
        <v>39</v>
      </c>
      <c r="H28" s="178">
        <f>SUM(H4:H27)</f>
        <v>6860000</v>
      </c>
      <c r="I28" s="86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4330708661417323" right="0.4330708661417323" top="0.5511811023622047" bottom="0.5511811023622047" header="0.31496062992125984" footer="0.31496062992125984"/>
  <pageSetup fitToHeight="1" fitToWidth="1" orientation="landscape" paperSize="9" scale="88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:N28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4" customFormat="1" ht="43.5" customHeight="1">
      <c r="B1" s="374" t="s">
        <v>124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2:14" s="4" customFormat="1" ht="29.25" customHeight="1">
      <c r="B2" s="375" t="s">
        <v>292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52</v>
      </c>
      <c r="F3" s="63" t="s">
        <v>6</v>
      </c>
      <c r="G3" s="64" t="s">
        <v>5</v>
      </c>
      <c r="H3" s="65" t="s">
        <v>51</v>
      </c>
      <c r="I3" s="66"/>
      <c r="J3" s="138" t="s">
        <v>6</v>
      </c>
      <c r="K3" s="134"/>
      <c r="L3" s="135"/>
      <c r="M3" s="136" t="s">
        <v>5</v>
      </c>
      <c r="N3" s="137" t="s">
        <v>4</v>
      </c>
    </row>
    <row r="4" spans="1:14" s="73" customFormat="1" ht="18" customHeight="1">
      <c r="A4" s="120" t="s">
        <v>109</v>
      </c>
      <c r="B4" s="160">
        <v>14.7</v>
      </c>
      <c r="C4" s="71">
        <v>36</v>
      </c>
      <c r="D4" s="69">
        <v>30</v>
      </c>
      <c r="E4" s="70"/>
      <c r="F4" s="71">
        <v>1</v>
      </c>
      <c r="G4" s="68">
        <v>10</v>
      </c>
      <c r="H4" s="72">
        <f aca="true" t="shared" si="0" ref="H4:H11">N4+I4</f>
        <v>1550000</v>
      </c>
      <c r="I4" s="85">
        <f aca="true" t="shared" si="1" ref="I4:I11">IF(E4&gt;0,$N$13,0)+IF(C4&gt;0,50000,0)+IF(C12&lt;0,50000,0)</f>
        <v>50000</v>
      </c>
      <c r="J4" s="87" t="s">
        <v>8</v>
      </c>
      <c r="K4" s="88"/>
      <c r="L4" s="89"/>
      <c r="M4" s="78">
        <v>10</v>
      </c>
      <c r="N4" s="72">
        <f>N12*25%</f>
        <v>1500000</v>
      </c>
    </row>
    <row r="5" spans="1:14" s="73" customFormat="1" ht="18" customHeight="1">
      <c r="A5" s="120" t="s">
        <v>65</v>
      </c>
      <c r="B5" s="160">
        <v>10.6</v>
      </c>
      <c r="C5" s="74">
        <v>34</v>
      </c>
      <c r="D5" s="69">
        <v>28</v>
      </c>
      <c r="E5" s="174"/>
      <c r="F5" s="71">
        <v>2</v>
      </c>
      <c r="G5" s="71">
        <v>8</v>
      </c>
      <c r="H5" s="72">
        <f t="shared" si="0"/>
        <v>1250000</v>
      </c>
      <c r="I5" s="85">
        <f t="shared" si="1"/>
        <v>50000</v>
      </c>
      <c r="J5" s="90" t="s">
        <v>9</v>
      </c>
      <c r="K5" s="91"/>
      <c r="L5" s="92"/>
      <c r="M5" s="75">
        <v>8</v>
      </c>
      <c r="N5" s="72">
        <f>N12*20%</f>
        <v>1200000</v>
      </c>
    </row>
    <row r="6" spans="1:14" s="73" customFormat="1" ht="18" customHeight="1">
      <c r="A6" s="120" t="s">
        <v>59</v>
      </c>
      <c r="B6" s="160">
        <v>18.3</v>
      </c>
      <c r="C6" s="74">
        <v>34</v>
      </c>
      <c r="D6" s="77">
        <v>35</v>
      </c>
      <c r="E6" s="174"/>
      <c r="F6" s="76">
        <v>3</v>
      </c>
      <c r="G6" s="76">
        <v>6</v>
      </c>
      <c r="H6" s="72">
        <f t="shared" si="0"/>
        <v>950000</v>
      </c>
      <c r="I6" s="85">
        <f t="shared" si="1"/>
        <v>50000</v>
      </c>
      <c r="J6" s="90" t="s">
        <v>10</v>
      </c>
      <c r="K6" s="91"/>
      <c r="L6" s="92"/>
      <c r="M6" s="75">
        <v>6</v>
      </c>
      <c r="N6" s="72">
        <f>N12*15%</f>
        <v>900000</v>
      </c>
    </row>
    <row r="7" spans="1:18" s="73" customFormat="1" ht="18" customHeight="1">
      <c r="A7" s="120" t="s">
        <v>75</v>
      </c>
      <c r="B7" s="160">
        <v>16.4</v>
      </c>
      <c r="C7" s="71">
        <v>32</v>
      </c>
      <c r="D7" s="69">
        <v>29</v>
      </c>
      <c r="E7" s="174"/>
      <c r="F7" s="71">
        <v>4</v>
      </c>
      <c r="G7" s="71">
        <v>5</v>
      </c>
      <c r="H7" s="72">
        <f t="shared" si="0"/>
        <v>770000</v>
      </c>
      <c r="I7" s="85">
        <f t="shared" si="1"/>
        <v>50000</v>
      </c>
      <c r="J7" s="90" t="s">
        <v>11</v>
      </c>
      <c r="K7" s="91"/>
      <c r="L7" s="92"/>
      <c r="M7" s="75">
        <v>5</v>
      </c>
      <c r="N7" s="72">
        <f>N12*12%</f>
        <v>720000</v>
      </c>
      <c r="O7" s="79"/>
      <c r="P7" s="79"/>
      <c r="Q7" s="79"/>
      <c r="R7" s="80"/>
    </row>
    <row r="8" spans="1:14" s="73" customFormat="1" ht="18" customHeight="1">
      <c r="A8" s="120" t="s">
        <v>77</v>
      </c>
      <c r="B8" s="160">
        <v>22.8</v>
      </c>
      <c r="C8" s="74">
        <v>32</v>
      </c>
      <c r="D8" s="69">
        <v>36</v>
      </c>
      <c r="E8" s="70"/>
      <c r="F8" s="71">
        <v>5</v>
      </c>
      <c r="G8" s="71">
        <v>4</v>
      </c>
      <c r="H8" s="72">
        <f t="shared" si="0"/>
        <v>650000</v>
      </c>
      <c r="I8" s="85">
        <f t="shared" si="1"/>
        <v>50000</v>
      </c>
      <c r="J8" s="90" t="s">
        <v>12</v>
      </c>
      <c r="K8" s="91"/>
      <c r="L8" s="92"/>
      <c r="M8" s="75">
        <v>4</v>
      </c>
      <c r="N8" s="72">
        <f>N12*10%</f>
        <v>600000</v>
      </c>
    </row>
    <row r="9" spans="1:14" s="73" customFormat="1" ht="18" customHeight="1">
      <c r="A9" s="120" t="s">
        <v>76</v>
      </c>
      <c r="B9" s="160">
        <v>12.1</v>
      </c>
      <c r="C9" s="77">
        <v>31</v>
      </c>
      <c r="D9" s="69">
        <v>32</v>
      </c>
      <c r="E9" s="70"/>
      <c r="F9" s="81">
        <v>6</v>
      </c>
      <c r="G9" s="81">
        <v>3</v>
      </c>
      <c r="H9" s="72">
        <f t="shared" si="0"/>
        <v>530000</v>
      </c>
      <c r="I9" s="85">
        <f t="shared" si="1"/>
        <v>50000</v>
      </c>
      <c r="J9" s="90" t="s">
        <v>13</v>
      </c>
      <c r="K9" s="91"/>
      <c r="L9" s="92"/>
      <c r="M9" s="75">
        <v>3</v>
      </c>
      <c r="N9" s="72">
        <f>N12*8%</f>
        <v>480000</v>
      </c>
    </row>
    <row r="10" spans="1:14" s="73" customFormat="1" ht="18" customHeight="1">
      <c r="A10" s="120" t="s">
        <v>110</v>
      </c>
      <c r="B10" s="160">
        <v>15.7</v>
      </c>
      <c r="C10" s="76">
        <v>31</v>
      </c>
      <c r="D10" s="69">
        <v>39</v>
      </c>
      <c r="E10" s="70"/>
      <c r="F10" s="71">
        <v>7</v>
      </c>
      <c r="G10" s="71">
        <v>2</v>
      </c>
      <c r="H10" s="72">
        <f t="shared" si="0"/>
        <v>410000</v>
      </c>
      <c r="I10" s="85">
        <f t="shared" si="1"/>
        <v>50000</v>
      </c>
      <c r="J10" s="90" t="s">
        <v>14</v>
      </c>
      <c r="K10" s="91"/>
      <c r="L10" s="92"/>
      <c r="M10" s="75">
        <v>2</v>
      </c>
      <c r="N10" s="72">
        <f>N12*6%</f>
        <v>360000</v>
      </c>
    </row>
    <row r="11" spans="1:14" s="73" customFormat="1" ht="18" customHeight="1">
      <c r="A11" s="120" t="s">
        <v>58</v>
      </c>
      <c r="B11" s="160">
        <v>7.1</v>
      </c>
      <c r="C11" s="71">
        <v>29</v>
      </c>
      <c r="D11" s="69">
        <v>31</v>
      </c>
      <c r="E11" s="70">
        <v>6.31</v>
      </c>
      <c r="F11" s="71">
        <v>8</v>
      </c>
      <c r="G11" s="71">
        <v>1</v>
      </c>
      <c r="H11" s="72">
        <f t="shared" si="0"/>
        <v>650000</v>
      </c>
      <c r="I11" s="85">
        <f t="shared" si="1"/>
        <v>410000</v>
      </c>
      <c r="J11" s="90" t="s">
        <v>15</v>
      </c>
      <c r="K11" s="91"/>
      <c r="L11" s="92"/>
      <c r="M11" s="75">
        <v>1</v>
      </c>
      <c r="N11" s="72">
        <f>N12*4%</f>
        <v>240000</v>
      </c>
    </row>
    <row r="12" spans="1:14" s="73" customFormat="1" ht="18" customHeight="1">
      <c r="A12" s="120" t="s">
        <v>70</v>
      </c>
      <c r="B12" s="160">
        <v>16.6</v>
      </c>
      <c r="C12" s="71">
        <v>29</v>
      </c>
      <c r="D12" s="77">
        <v>35</v>
      </c>
      <c r="E12" s="70"/>
      <c r="F12" s="68"/>
      <c r="G12" s="71"/>
      <c r="H12" s="72">
        <f aca="true" t="shared" si="2" ref="H12:H27">I12</f>
        <v>50000</v>
      </c>
      <c r="I12" s="85">
        <f aca="true" t="shared" si="3" ref="I12:I27">IF(E12&gt;0,$N$13,0)+IF(C12&gt;0,50000,0)+IF(C12&lt;0,50000,0)</f>
        <v>50000</v>
      </c>
      <c r="J12" s="93" t="s">
        <v>3</v>
      </c>
      <c r="K12" s="91"/>
      <c r="L12" s="92"/>
      <c r="M12" s="75"/>
      <c r="N12" s="82">
        <v>6000000</v>
      </c>
    </row>
    <row r="13" spans="1:14" s="73" customFormat="1" ht="18" customHeight="1">
      <c r="A13" s="120" t="s">
        <v>111</v>
      </c>
      <c r="B13" s="160">
        <v>14</v>
      </c>
      <c r="C13" s="71">
        <v>27</v>
      </c>
      <c r="D13" s="77">
        <v>38</v>
      </c>
      <c r="E13" s="70"/>
      <c r="F13" s="71"/>
      <c r="G13" s="71"/>
      <c r="H13" s="72">
        <f t="shared" si="2"/>
        <v>50000</v>
      </c>
      <c r="I13" s="85">
        <f t="shared" si="3"/>
        <v>50000</v>
      </c>
      <c r="J13" s="122" t="s">
        <v>62</v>
      </c>
      <c r="K13" s="123"/>
      <c r="L13" s="124"/>
      <c r="M13" s="125">
        <v>1</v>
      </c>
      <c r="N13" s="126">
        <f>N10</f>
        <v>360000</v>
      </c>
    </row>
    <row r="14" spans="1:14" s="73" customFormat="1" ht="18" customHeight="1">
      <c r="A14" s="120" t="s">
        <v>117</v>
      </c>
      <c r="B14" s="160">
        <v>13.2</v>
      </c>
      <c r="C14" s="68">
        <v>26</v>
      </c>
      <c r="D14" s="77">
        <v>32</v>
      </c>
      <c r="E14" s="70"/>
      <c r="F14" s="71"/>
      <c r="G14" s="71"/>
      <c r="H14" s="72">
        <f t="shared" si="2"/>
        <v>50000</v>
      </c>
      <c r="I14" s="85">
        <f t="shared" si="3"/>
        <v>50000</v>
      </c>
      <c r="J14" s="131"/>
      <c r="K14" s="123"/>
      <c r="L14" s="123"/>
      <c r="M14" s="132"/>
      <c r="N14" s="133"/>
    </row>
    <row r="15" spans="1:14" s="73" customFormat="1" ht="18" customHeight="1">
      <c r="A15" s="120" t="s">
        <v>78</v>
      </c>
      <c r="B15" s="160">
        <v>13.6</v>
      </c>
      <c r="C15" s="71">
        <v>26</v>
      </c>
      <c r="D15" s="69">
        <v>36</v>
      </c>
      <c r="E15" s="70"/>
      <c r="F15" s="71"/>
      <c r="G15" s="71"/>
      <c r="H15" s="72">
        <f t="shared" si="2"/>
        <v>50000</v>
      </c>
      <c r="I15" s="85">
        <f t="shared" si="3"/>
        <v>50000</v>
      </c>
      <c r="J15" s="127"/>
      <c r="K15" s="128"/>
      <c r="L15" s="128"/>
      <c r="M15" s="129"/>
      <c r="N15" s="130"/>
    </row>
    <row r="16" spans="1:9" s="73" customFormat="1" ht="18" customHeight="1">
      <c r="A16" s="120" t="s">
        <v>118</v>
      </c>
      <c r="B16" s="160">
        <v>20</v>
      </c>
      <c r="C16" s="71">
        <v>25</v>
      </c>
      <c r="D16" s="77">
        <v>40</v>
      </c>
      <c r="E16" s="70"/>
      <c r="F16" s="76"/>
      <c r="G16" s="76"/>
      <c r="H16" s="72">
        <f t="shared" si="2"/>
        <v>50000</v>
      </c>
      <c r="I16" s="85">
        <f t="shared" si="3"/>
        <v>50000</v>
      </c>
    </row>
    <row r="17" spans="1:18" s="73" customFormat="1" ht="18" customHeight="1">
      <c r="A17" s="120" t="s">
        <v>60</v>
      </c>
      <c r="B17" s="160">
        <v>8.2</v>
      </c>
      <c r="C17" s="71">
        <v>24</v>
      </c>
      <c r="D17" s="77">
        <v>37</v>
      </c>
      <c r="E17" s="70"/>
      <c r="F17" s="76"/>
      <c r="G17" s="76"/>
      <c r="H17" s="72">
        <f t="shared" si="2"/>
        <v>50000</v>
      </c>
      <c r="I17" s="85">
        <f t="shared" si="3"/>
        <v>50000</v>
      </c>
      <c r="O17" s="79"/>
      <c r="P17" s="79"/>
      <c r="Q17" s="79"/>
      <c r="R17" s="80"/>
    </row>
    <row r="18" spans="1:13" s="73" customFormat="1" ht="18" customHeight="1">
      <c r="A18" s="120" t="s">
        <v>115</v>
      </c>
      <c r="B18" s="160">
        <v>14.2</v>
      </c>
      <c r="C18" s="71">
        <v>24</v>
      </c>
      <c r="D18" s="69">
        <v>35</v>
      </c>
      <c r="E18" s="174"/>
      <c r="F18" s="71"/>
      <c r="G18" s="71"/>
      <c r="H18" s="72">
        <f t="shared" si="2"/>
        <v>50000</v>
      </c>
      <c r="I18" s="85">
        <f t="shared" si="3"/>
        <v>50000</v>
      </c>
      <c r="J18" s="80"/>
      <c r="K18" s="80"/>
      <c r="L18" s="80"/>
      <c r="M18" s="80"/>
    </row>
    <row r="19" spans="1:13" s="73" customFormat="1" ht="18" customHeight="1">
      <c r="A19" s="120" t="s">
        <v>66</v>
      </c>
      <c r="B19" s="160">
        <v>24.6</v>
      </c>
      <c r="C19" s="71">
        <v>14</v>
      </c>
      <c r="D19" s="69">
        <v>43</v>
      </c>
      <c r="E19" s="70"/>
      <c r="F19" s="71"/>
      <c r="G19" s="71"/>
      <c r="H19" s="72">
        <f t="shared" si="2"/>
        <v>50000</v>
      </c>
      <c r="I19" s="85">
        <f t="shared" si="3"/>
        <v>50000</v>
      </c>
      <c r="J19" s="80"/>
      <c r="K19" s="80"/>
      <c r="L19" s="80"/>
      <c r="M19" s="80"/>
    </row>
    <row r="20" spans="1:9" s="4" customFormat="1" ht="18" customHeight="1">
      <c r="A20" s="120" t="s">
        <v>72</v>
      </c>
      <c r="B20" s="160">
        <v>17.9</v>
      </c>
      <c r="C20" s="71">
        <v>13</v>
      </c>
      <c r="D20" s="69">
        <v>45</v>
      </c>
      <c r="E20" s="70"/>
      <c r="F20" s="76"/>
      <c r="G20" s="76"/>
      <c r="H20" s="72">
        <f t="shared" si="2"/>
        <v>50000</v>
      </c>
      <c r="I20" s="85">
        <f t="shared" si="3"/>
        <v>50000</v>
      </c>
    </row>
    <row r="21" spans="1:9" s="4" customFormat="1" ht="18" customHeight="1">
      <c r="A21" s="120"/>
      <c r="B21" s="160"/>
      <c r="C21" s="71"/>
      <c r="D21" s="69"/>
      <c r="E21" s="174"/>
      <c r="F21" s="76"/>
      <c r="G21" s="76"/>
      <c r="H21" s="72">
        <f t="shared" si="2"/>
        <v>0</v>
      </c>
      <c r="I21" s="85">
        <f t="shared" si="3"/>
        <v>0</v>
      </c>
    </row>
    <row r="22" spans="1:9" s="4" customFormat="1" ht="18" customHeight="1">
      <c r="A22" s="120"/>
      <c r="B22" s="160"/>
      <c r="C22" s="74"/>
      <c r="D22" s="77"/>
      <c r="E22" s="174"/>
      <c r="F22" s="76"/>
      <c r="G22" s="76"/>
      <c r="H22" s="72">
        <f t="shared" si="2"/>
        <v>0</v>
      </c>
      <c r="I22" s="85">
        <f t="shared" si="3"/>
        <v>0</v>
      </c>
    </row>
    <row r="23" spans="1:9" s="4" customFormat="1" ht="18" customHeight="1">
      <c r="A23" s="120"/>
      <c r="B23" s="160"/>
      <c r="C23" s="74"/>
      <c r="D23" s="69"/>
      <c r="E23" s="174"/>
      <c r="F23" s="76"/>
      <c r="G23" s="76"/>
      <c r="H23" s="72">
        <f t="shared" si="2"/>
        <v>0</v>
      </c>
      <c r="I23" s="85">
        <f t="shared" si="3"/>
        <v>0</v>
      </c>
    </row>
    <row r="24" spans="1:9" s="4" customFormat="1" ht="18" customHeight="1">
      <c r="A24" s="120"/>
      <c r="B24" s="160"/>
      <c r="C24" s="76"/>
      <c r="D24" s="77"/>
      <c r="E24" s="70"/>
      <c r="F24" s="76"/>
      <c r="G24" s="76"/>
      <c r="H24" s="72">
        <f t="shared" si="2"/>
        <v>0</v>
      </c>
      <c r="I24" s="85">
        <f t="shared" si="3"/>
        <v>0</v>
      </c>
    </row>
    <row r="25" spans="1:9" s="4" customFormat="1" ht="18" customHeight="1">
      <c r="A25" s="120"/>
      <c r="B25" s="160"/>
      <c r="C25" s="71"/>
      <c r="D25" s="69"/>
      <c r="E25" s="174"/>
      <c r="F25" s="76"/>
      <c r="G25" s="76"/>
      <c r="H25" s="72">
        <f t="shared" si="2"/>
        <v>0</v>
      </c>
      <c r="I25" s="85">
        <f t="shared" si="3"/>
        <v>0</v>
      </c>
    </row>
    <row r="26" spans="1:9" s="4" customFormat="1" ht="18" customHeight="1">
      <c r="A26" s="120"/>
      <c r="B26" s="160"/>
      <c r="C26" s="71"/>
      <c r="D26" s="74"/>
      <c r="E26" s="70"/>
      <c r="F26" s="71"/>
      <c r="G26" s="71"/>
      <c r="H26" s="72">
        <f t="shared" si="2"/>
        <v>0</v>
      </c>
      <c r="I26" s="85">
        <f t="shared" si="3"/>
        <v>0</v>
      </c>
    </row>
    <row r="27" spans="1:9" s="4" customFormat="1" ht="18" customHeight="1">
      <c r="A27" s="120"/>
      <c r="B27" s="160"/>
      <c r="C27" s="74"/>
      <c r="D27" s="69"/>
      <c r="E27" s="70"/>
      <c r="F27" s="71"/>
      <c r="G27" s="71"/>
      <c r="H27" s="72">
        <f t="shared" si="2"/>
        <v>0</v>
      </c>
      <c r="I27" s="85">
        <f t="shared" si="3"/>
        <v>0</v>
      </c>
    </row>
    <row r="28" spans="1:9" ht="24" customHeight="1" thickBot="1">
      <c r="A28" s="1"/>
      <c r="B28" s="2"/>
      <c r="C28" s="3"/>
      <c r="D28" s="177">
        <f>SUM(D4:D27)</f>
        <v>601</v>
      </c>
      <c r="E28" s="3"/>
      <c r="F28" s="2"/>
      <c r="G28" s="178">
        <f>SUM(G4:G27)</f>
        <v>39</v>
      </c>
      <c r="H28" s="178">
        <f>SUM(H4:H27)</f>
        <v>7210000</v>
      </c>
      <c r="I28" s="86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4330708661417323" right="0.4330708661417323" top="0.5511811023622047" bottom="0.5511811023622047" header="0.31496062992125984" footer="0.31496062992125984"/>
  <pageSetup orientation="landscape" paperSize="9" scale="94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4" customFormat="1" ht="43.5" customHeight="1">
      <c r="B1" s="374" t="s">
        <v>89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2:14" s="4" customFormat="1" ht="29.25" customHeight="1">
      <c r="B2" s="375" t="s">
        <v>296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52</v>
      </c>
      <c r="F3" s="63" t="s">
        <v>6</v>
      </c>
      <c r="G3" s="64" t="s">
        <v>5</v>
      </c>
      <c r="H3" s="65" t="s">
        <v>51</v>
      </c>
      <c r="I3" s="66"/>
      <c r="J3" s="138" t="s">
        <v>6</v>
      </c>
      <c r="K3" s="134"/>
      <c r="L3" s="135"/>
      <c r="M3" s="136" t="s">
        <v>5</v>
      </c>
      <c r="N3" s="137" t="s">
        <v>4</v>
      </c>
    </row>
    <row r="4" spans="1:14" s="73" customFormat="1" ht="18" customHeight="1">
      <c r="A4" s="120" t="s">
        <v>109</v>
      </c>
      <c r="B4" s="160">
        <v>15.9</v>
      </c>
      <c r="C4" s="71">
        <v>40</v>
      </c>
      <c r="D4" s="77">
        <v>26</v>
      </c>
      <c r="E4" s="70"/>
      <c r="F4" s="71">
        <v>1</v>
      </c>
      <c r="G4" s="68">
        <v>10</v>
      </c>
      <c r="H4" s="72">
        <f aca="true" t="shared" si="0" ref="H4:H11">N4+I4</f>
        <v>1550000</v>
      </c>
      <c r="I4" s="85">
        <f aca="true" t="shared" si="1" ref="I4:I11">IF(E4&gt;0,$N$13,0)+IF(C4&gt;0,50000,0)+IF(C12&lt;0,50000,0)</f>
        <v>50000</v>
      </c>
      <c r="J4" s="87" t="s">
        <v>8</v>
      </c>
      <c r="K4" s="88"/>
      <c r="L4" s="89"/>
      <c r="M4" s="78">
        <v>10</v>
      </c>
      <c r="N4" s="72">
        <f>N12*25%</f>
        <v>1500000</v>
      </c>
    </row>
    <row r="5" spans="1:14" s="73" customFormat="1" ht="18" customHeight="1">
      <c r="A5" s="120" t="s">
        <v>60</v>
      </c>
      <c r="B5" s="160">
        <v>8.1</v>
      </c>
      <c r="C5" s="71">
        <v>35</v>
      </c>
      <c r="D5" s="69">
        <v>31</v>
      </c>
      <c r="E5" s="174"/>
      <c r="F5" s="71">
        <v>2</v>
      </c>
      <c r="G5" s="71">
        <v>8</v>
      </c>
      <c r="H5" s="72">
        <f t="shared" si="0"/>
        <v>1250000</v>
      </c>
      <c r="I5" s="85">
        <f t="shared" si="1"/>
        <v>50000</v>
      </c>
      <c r="J5" s="90" t="s">
        <v>9</v>
      </c>
      <c r="K5" s="91"/>
      <c r="L5" s="92"/>
      <c r="M5" s="75">
        <v>8</v>
      </c>
      <c r="N5" s="72">
        <f>N12*20%</f>
        <v>1200000</v>
      </c>
    </row>
    <row r="6" spans="1:14" s="73" customFormat="1" ht="18" customHeight="1">
      <c r="A6" s="120" t="s">
        <v>59</v>
      </c>
      <c r="B6" s="160">
        <v>18.3</v>
      </c>
      <c r="C6" s="76">
        <v>35</v>
      </c>
      <c r="D6" s="69">
        <v>34</v>
      </c>
      <c r="E6" s="70"/>
      <c r="F6" s="76">
        <v>3</v>
      </c>
      <c r="G6" s="76">
        <v>6</v>
      </c>
      <c r="H6" s="72">
        <f t="shared" si="0"/>
        <v>950000</v>
      </c>
      <c r="I6" s="85">
        <f t="shared" si="1"/>
        <v>50000</v>
      </c>
      <c r="J6" s="90" t="s">
        <v>10</v>
      </c>
      <c r="K6" s="91"/>
      <c r="L6" s="92"/>
      <c r="M6" s="75">
        <v>6</v>
      </c>
      <c r="N6" s="72">
        <f>N12*15%</f>
        <v>900000</v>
      </c>
    </row>
    <row r="7" spans="1:18" s="73" customFormat="1" ht="18" customHeight="1">
      <c r="A7" s="120" t="s">
        <v>111</v>
      </c>
      <c r="B7" s="160">
        <v>14</v>
      </c>
      <c r="C7" s="74">
        <v>34</v>
      </c>
      <c r="D7" s="69">
        <v>32</v>
      </c>
      <c r="E7" s="70"/>
      <c r="F7" s="71">
        <v>4</v>
      </c>
      <c r="G7" s="71">
        <v>5</v>
      </c>
      <c r="H7" s="72">
        <f t="shared" si="0"/>
        <v>770000</v>
      </c>
      <c r="I7" s="85">
        <f t="shared" si="1"/>
        <v>50000</v>
      </c>
      <c r="J7" s="90" t="s">
        <v>11</v>
      </c>
      <c r="K7" s="91"/>
      <c r="L7" s="92"/>
      <c r="M7" s="75">
        <v>5</v>
      </c>
      <c r="N7" s="72">
        <f>N12*12%</f>
        <v>720000</v>
      </c>
      <c r="O7" s="79"/>
      <c r="P7" s="79"/>
      <c r="Q7" s="79"/>
      <c r="R7" s="80"/>
    </row>
    <row r="8" spans="1:14" s="73" customFormat="1" ht="18" customHeight="1">
      <c r="A8" s="120" t="s">
        <v>119</v>
      </c>
      <c r="B8" s="160">
        <v>10.9</v>
      </c>
      <c r="C8" s="74">
        <v>33</v>
      </c>
      <c r="D8" s="77">
        <v>38</v>
      </c>
      <c r="E8" s="174"/>
      <c r="F8" s="71">
        <v>5</v>
      </c>
      <c r="G8" s="71">
        <v>4</v>
      </c>
      <c r="H8" s="72">
        <f t="shared" si="0"/>
        <v>650000</v>
      </c>
      <c r="I8" s="85">
        <f t="shared" si="1"/>
        <v>50000</v>
      </c>
      <c r="J8" s="90" t="s">
        <v>12</v>
      </c>
      <c r="K8" s="91"/>
      <c r="L8" s="92"/>
      <c r="M8" s="75">
        <v>4</v>
      </c>
      <c r="N8" s="72">
        <f>N12*10%</f>
        <v>600000</v>
      </c>
    </row>
    <row r="9" spans="1:14" s="73" customFormat="1" ht="18" customHeight="1">
      <c r="A9" s="120" t="s">
        <v>75</v>
      </c>
      <c r="B9" s="160">
        <v>16.4</v>
      </c>
      <c r="C9" s="71">
        <v>33</v>
      </c>
      <c r="D9" s="77">
        <v>36</v>
      </c>
      <c r="E9" s="70"/>
      <c r="F9" s="81">
        <v>6</v>
      </c>
      <c r="G9" s="81">
        <v>3</v>
      </c>
      <c r="H9" s="72">
        <f t="shared" si="0"/>
        <v>530000</v>
      </c>
      <c r="I9" s="85">
        <f t="shared" si="1"/>
        <v>50000</v>
      </c>
      <c r="J9" s="90" t="s">
        <v>13</v>
      </c>
      <c r="K9" s="91"/>
      <c r="L9" s="92"/>
      <c r="M9" s="75">
        <v>3</v>
      </c>
      <c r="N9" s="72">
        <f>N12*8%</f>
        <v>480000</v>
      </c>
    </row>
    <row r="10" spans="1:14" s="73" customFormat="1" ht="18" customHeight="1">
      <c r="A10" s="120" t="s">
        <v>58</v>
      </c>
      <c r="B10" s="160">
        <v>7</v>
      </c>
      <c r="C10" s="74">
        <v>31</v>
      </c>
      <c r="D10" s="69">
        <v>33</v>
      </c>
      <c r="E10" s="174"/>
      <c r="F10" s="71">
        <v>7</v>
      </c>
      <c r="G10" s="71">
        <v>2</v>
      </c>
      <c r="H10" s="72">
        <f t="shared" si="0"/>
        <v>410000</v>
      </c>
      <c r="I10" s="85">
        <f t="shared" si="1"/>
        <v>50000</v>
      </c>
      <c r="J10" s="90" t="s">
        <v>14</v>
      </c>
      <c r="K10" s="91"/>
      <c r="L10" s="92"/>
      <c r="M10" s="75">
        <v>2</v>
      </c>
      <c r="N10" s="72">
        <f>N12*6%</f>
        <v>360000</v>
      </c>
    </row>
    <row r="11" spans="1:14" s="73" customFormat="1" ht="18" customHeight="1">
      <c r="A11" s="120" t="s">
        <v>76</v>
      </c>
      <c r="B11" s="160">
        <v>12.2</v>
      </c>
      <c r="C11" s="71">
        <v>31</v>
      </c>
      <c r="D11" s="77">
        <v>36</v>
      </c>
      <c r="E11" s="70"/>
      <c r="F11" s="71">
        <v>8</v>
      </c>
      <c r="G11" s="71">
        <v>1</v>
      </c>
      <c r="H11" s="72">
        <f t="shared" si="0"/>
        <v>290000</v>
      </c>
      <c r="I11" s="85">
        <f t="shared" si="1"/>
        <v>50000</v>
      </c>
      <c r="J11" s="90" t="s">
        <v>15</v>
      </c>
      <c r="K11" s="91"/>
      <c r="L11" s="92"/>
      <c r="M11" s="75">
        <v>1</v>
      </c>
      <c r="N11" s="72">
        <f>N12*4%</f>
        <v>240000</v>
      </c>
    </row>
    <row r="12" spans="1:14" s="73" customFormat="1" ht="18" customHeight="1">
      <c r="A12" s="120" t="s">
        <v>115</v>
      </c>
      <c r="B12" s="160">
        <v>14.2</v>
      </c>
      <c r="C12" s="71">
        <v>29</v>
      </c>
      <c r="D12" s="69">
        <v>36</v>
      </c>
      <c r="E12" s="70"/>
      <c r="F12" s="68"/>
      <c r="G12" s="71"/>
      <c r="H12" s="72">
        <f aca="true" t="shared" si="2" ref="H12:H27">I12</f>
        <v>50000</v>
      </c>
      <c r="I12" s="85">
        <f aca="true" t="shared" si="3" ref="I12:I27">IF(E12&gt;0,$N$13,0)+IF(C12&gt;0,50000,0)+IF(C12&lt;0,50000,0)</f>
        <v>50000</v>
      </c>
      <c r="J12" s="93" t="s">
        <v>3</v>
      </c>
      <c r="K12" s="91"/>
      <c r="L12" s="92"/>
      <c r="M12" s="75"/>
      <c r="N12" s="82">
        <v>6000000</v>
      </c>
    </row>
    <row r="13" spans="1:14" s="73" customFormat="1" ht="18" customHeight="1">
      <c r="A13" s="120" t="s">
        <v>326</v>
      </c>
      <c r="B13" s="160">
        <v>15.2</v>
      </c>
      <c r="C13" s="71">
        <v>28</v>
      </c>
      <c r="D13" s="69">
        <v>35</v>
      </c>
      <c r="E13" s="174"/>
      <c r="F13" s="71"/>
      <c r="G13" s="71"/>
      <c r="H13" s="72">
        <f t="shared" si="2"/>
        <v>50000</v>
      </c>
      <c r="I13" s="85">
        <f t="shared" si="3"/>
        <v>50000</v>
      </c>
      <c r="J13" s="122" t="s">
        <v>62</v>
      </c>
      <c r="K13" s="123"/>
      <c r="L13" s="124"/>
      <c r="M13" s="125">
        <v>1</v>
      </c>
      <c r="N13" s="126">
        <f>N10</f>
        <v>360000</v>
      </c>
    </row>
    <row r="14" spans="1:14" s="73" customFormat="1" ht="18" customHeight="1">
      <c r="A14" s="120" t="s">
        <v>78</v>
      </c>
      <c r="B14" s="160">
        <v>13.5</v>
      </c>
      <c r="C14" s="71">
        <v>27</v>
      </c>
      <c r="D14" s="69">
        <v>41</v>
      </c>
      <c r="E14" s="70"/>
      <c r="F14" s="71"/>
      <c r="G14" s="71"/>
      <c r="H14" s="72">
        <f t="shared" si="2"/>
        <v>50000</v>
      </c>
      <c r="I14" s="85">
        <f t="shared" si="3"/>
        <v>50000</v>
      </c>
      <c r="J14" s="131"/>
      <c r="K14" s="123"/>
      <c r="L14" s="123"/>
      <c r="M14" s="132"/>
      <c r="N14" s="133"/>
    </row>
    <row r="15" spans="1:14" s="73" customFormat="1" ht="18" customHeight="1">
      <c r="A15" s="120" t="s">
        <v>72</v>
      </c>
      <c r="B15" s="160">
        <v>17.7</v>
      </c>
      <c r="C15" s="71">
        <v>25</v>
      </c>
      <c r="D15" s="69">
        <v>35</v>
      </c>
      <c r="E15" s="174"/>
      <c r="F15" s="71"/>
      <c r="G15" s="71"/>
      <c r="H15" s="72">
        <f t="shared" si="2"/>
        <v>50000</v>
      </c>
      <c r="I15" s="85">
        <f t="shared" si="3"/>
        <v>50000</v>
      </c>
      <c r="J15" s="127"/>
      <c r="K15" s="128"/>
      <c r="L15" s="128"/>
      <c r="M15" s="129"/>
      <c r="N15" s="130"/>
    </row>
    <row r="16" spans="1:9" s="73" customFormat="1" ht="18" customHeight="1">
      <c r="A16" s="120" t="s">
        <v>71</v>
      </c>
      <c r="B16" s="160">
        <v>6.6</v>
      </c>
      <c r="C16" s="77">
        <v>24</v>
      </c>
      <c r="D16" s="69">
        <v>37</v>
      </c>
      <c r="E16" s="70"/>
      <c r="F16" s="76"/>
      <c r="G16" s="76"/>
      <c r="H16" s="72">
        <f t="shared" si="2"/>
        <v>50000</v>
      </c>
      <c r="I16" s="85">
        <f t="shared" si="3"/>
        <v>50000</v>
      </c>
    </row>
    <row r="17" spans="1:18" s="73" customFormat="1" ht="18" customHeight="1">
      <c r="A17" s="120" t="s">
        <v>65</v>
      </c>
      <c r="B17" s="160">
        <v>10.6</v>
      </c>
      <c r="C17" s="68">
        <v>24</v>
      </c>
      <c r="D17" s="77">
        <v>38</v>
      </c>
      <c r="E17" s="70">
        <v>4.1</v>
      </c>
      <c r="F17" s="76"/>
      <c r="G17" s="76"/>
      <c r="H17" s="72">
        <f t="shared" si="2"/>
        <v>410000</v>
      </c>
      <c r="I17" s="85">
        <f t="shared" si="3"/>
        <v>410000</v>
      </c>
      <c r="O17" s="79"/>
      <c r="P17" s="79"/>
      <c r="Q17" s="79"/>
      <c r="R17" s="80"/>
    </row>
    <row r="18" spans="1:18" s="73" customFormat="1" ht="18" customHeight="1">
      <c r="A18" s="120" t="s">
        <v>118</v>
      </c>
      <c r="B18" s="160">
        <v>20</v>
      </c>
      <c r="C18" s="71">
        <v>24</v>
      </c>
      <c r="D18" s="69">
        <v>38</v>
      </c>
      <c r="E18" s="70"/>
      <c r="F18" s="71"/>
      <c r="G18" s="71"/>
      <c r="H18" s="72">
        <f t="shared" si="2"/>
        <v>50000</v>
      </c>
      <c r="I18" s="85">
        <f t="shared" si="3"/>
        <v>50000</v>
      </c>
      <c r="J18" s="76" t="s">
        <v>16</v>
      </c>
      <c r="K18" s="76" t="s">
        <v>5</v>
      </c>
      <c r="L18" s="76"/>
      <c r="M18" s="76" t="s">
        <v>17</v>
      </c>
      <c r="N18" s="76"/>
      <c r="O18" s="80"/>
      <c r="P18" s="80"/>
      <c r="Q18" s="80"/>
      <c r="R18" s="80"/>
    </row>
    <row r="19" spans="1:18" s="73" customFormat="1" ht="18" customHeight="1">
      <c r="A19" s="120" t="s">
        <v>110</v>
      </c>
      <c r="B19" s="160">
        <v>15.5</v>
      </c>
      <c r="C19" s="71">
        <v>22</v>
      </c>
      <c r="D19" s="69">
        <v>41</v>
      </c>
      <c r="E19" s="70"/>
      <c r="F19" s="71"/>
      <c r="G19" s="71"/>
      <c r="H19" s="72">
        <f t="shared" si="2"/>
        <v>50000</v>
      </c>
      <c r="I19" s="85">
        <f t="shared" si="3"/>
        <v>50000</v>
      </c>
      <c r="J19" s="76">
        <v>1</v>
      </c>
      <c r="K19" s="76" t="s">
        <v>18</v>
      </c>
      <c r="L19" s="76">
        <v>10</v>
      </c>
      <c r="M19" s="72" t="s">
        <v>18</v>
      </c>
      <c r="N19" s="72">
        <f>N14*20%</f>
        <v>0</v>
      </c>
      <c r="O19" s="80"/>
      <c r="P19" s="80"/>
      <c r="Q19" s="80"/>
      <c r="R19" s="80"/>
    </row>
    <row r="20" spans="1:14" s="4" customFormat="1" ht="18" customHeight="1">
      <c r="A20" s="120" t="s">
        <v>66</v>
      </c>
      <c r="B20" s="160">
        <v>24.5</v>
      </c>
      <c r="C20" s="74">
        <v>19</v>
      </c>
      <c r="D20" s="69">
        <v>44</v>
      </c>
      <c r="E20" s="70"/>
      <c r="F20" s="76"/>
      <c r="G20" s="76"/>
      <c r="H20" s="72">
        <f t="shared" si="2"/>
        <v>50000</v>
      </c>
      <c r="I20" s="85">
        <f t="shared" si="3"/>
        <v>50000</v>
      </c>
      <c r="J20" s="76">
        <v>2</v>
      </c>
      <c r="K20" s="76" t="s">
        <v>18</v>
      </c>
      <c r="L20" s="76">
        <v>6</v>
      </c>
      <c r="M20" s="72" t="s">
        <v>18</v>
      </c>
      <c r="N20" s="72">
        <f>N14*15%</f>
        <v>0</v>
      </c>
    </row>
    <row r="21" spans="1:14" s="4" customFormat="1" ht="18" customHeight="1">
      <c r="A21" s="120"/>
      <c r="B21" s="160"/>
      <c r="C21" s="71"/>
      <c r="D21" s="74"/>
      <c r="E21" s="70"/>
      <c r="F21" s="76"/>
      <c r="G21" s="76"/>
      <c r="H21" s="72">
        <f t="shared" si="2"/>
        <v>0</v>
      </c>
      <c r="I21" s="85">
        <f t="shared" si="3"/>
        <v>0</v>
      </c>
      <c r="J21" s="76">
        <v>3</v>
      </c>
      <c r="K21" s="76" t="s">
        <v>18</v>
      </c>
      <c r="L21" s="76">
        <v>4</v>
      </c>
      <c r="M21" s="72" t="s">
        <v>18</v>
      </c>
      <c r="N21" s="72">
        <f>N14*10%</f>
        <v>0</v>
      </c>
    </row>
    <row r="22" spans="1:14" s="4" customFormat="1" ht="18" customHeight="1">
      <c r="A22" s="120"/>
      <c r="B22" s="160"/>
      <c r="C22" s="71"/>
      <c r="D22" s="69"/>
      <c r="E22" s="70"/>
      <c r="F22" s="76"/>
      <c r="G22" s="76"/>
      <c r="H22" s="72">
        <f t="shared" si="2"/>
        <v>0</v>
      </c>
      <c r="I22" s="85">
        <f t="shared" si="3"/>
        <v>0</v>
      </c>
      <c r="J22" s="76">
        <v>4</v>
      </c>
      <c r="K22" s="76" t="s">
        <v>18</v>
      </c>
      <c r="L22" s="76">
        <v>2</v>
      </c>
      <c r="M22" s="72" t="s">
        <v>18</v>
      </c>
      <c r="N22" s="72">
        <f>N14*5%</f>
        <v>0</v>
      </c>
    </row>
    <row r="23" spans="1:14" s="4" customFormat="1" ht="18" customHeight="1">
      <c r="A23" s="120"/>
      <c r="B23" s="160"/>
      <c r="C23" s="74"/>
      <c r="D23" s="69"/>
      <c r="E23" s="174"/>
      <c r="F23" s="76"/>
      <c r="G23" s="76"/>
      <c r="H23" s="72">
        <f t="shared" si="2"/>
        <v>0</v>
      </c>
      <c r="I23" s="85">
        <f t="shared" si="3"/>
        <v>0</v>
      </c>
      <c r="L23" s="83"/>
      <c r="M23" s="84"/>
      <c r="N23" s="84"/>
    </row>
    <row r="24" spans="1:14" s="4" customFormat="1" ht="18" customHeight="1">
      <c r="A24" s="120"/>
      <c r="B24" s="160"/>
      <c r="C24" s="71"/>
      <c r="D24" s="69"/>
      <c r="E24" s="174"/>
      <c r="F24" s="76"/>
      <c r="G24" s="76"/>
      <c r="H24" s="72">
        <f t="shared" si="2"/>
        <v>0</v>
      </c>
      <c r="I24" s="85">
        <f t="shared" si="3"/>
        <v>0</v>
      </c>
      <c r="L24" s="83"/>
      <c r="M24" s="84"/>
      <c r="N24" s="84"/>
    </row>
    <row r="25" spans="1:14" s="4" customFormat="1" ht="18" customHeight="1">
      <c r="A25" s="120"/>
      <c r="B25" s="160"/>
      <c r="C25" s="74"/>
      <c r="D25" s="77"/>
      <c r="E25" s="174"/>
      <c r="F25" s="76"/>
      <c r="G25" s="76"/>
      <c r="H25" s="72">
        <f t="shared" si="2"/>
        <v>0</v>
      </c>
      <c r="I25" s="85">
        <f t="shared" si="3"/>
        <v>0</v>
      </c>
      <c r="J25" s="76" t="s">
        <v>19</v>
      </c>
      <c r="K25" s="76" t="s">
        <v>5</v>
      </c>
      <c r="L25" s="76"/>
      <c r="M25" s="72" t="s">
        <v>17</v>
      </c>
      <c r="N25" s="72"/>
    </row>
    <row r="26" spans="1:14" s="4" customFormat="1" ht="18" customHeight="1">
      <c r="A26" s="120"/>
      <c r="B26" s="160"/>
      <c r="C26" s="76"/>
      <c r="D26" s="77"/>
      <c r="E26" s="70"/>
      <c r="F26" s="71"/>
      <c r="G26" s="71"/>
      <c r="H26" s="72">
        <f t="shared" si="2"/>
        <v>0</v>
      </c>
      <c r="I26" s="85">
        <f t="shared" si="3"/>
        <v>0</v>
      </c>
      <c r="J26" s="76">
        <v>1</v>
      </c>
      <c r="K26" s="76" t="s">
        <v>21</v>
      </c>
      <c r="L26" s="76">
        <v>10</v>
      </c>
      <c r="M26" s="72" t="s">
        <v>21</v>
      </c>
      <c r="N26" s="72">
        <f>N6*67%</f>
        <v>603000</v>
      </c>
    </row>
    <row r="27" spans="1:14" s="4" customFormat="1" ht="18" customHeight="1">
      <c r="A27" s="120"/>
      <c r="B27" s="160"/>
      <c r="C27" s="71"/>
      <c r="D27" s="77"/>
      <c r="E27" s="70"/>
      <c r="F27" s="71"/>
      <c r="G27" s="71"/>
      <c r="H27" s="72">
        <f t="shared" si="2"/>
        <v>0</v>
      </c>
      <c r="I27" s="85">
        <f t="shared" si="3"/>
        <v>0</v>
      </c>
      <c r="J27" s="76">
        <v>2</v>
      </c>
      <c r="K27" s="76" t="s">
        <v>20</v>
      </c>
      <c r="L27" s="76">
        <v>5</v>
      </c>
      <c r="M27" s="72" t="s">
        <v>20</v>
      </c>
      <c r="N27" s="72">
        <f>N6*33%</f>
        <v>297000</v>
      </c>
    </row>
    <row r="28" spans="1:9" ht="24" customHeight="1" thickBot="1">
      <c r="A28" s="1"/>
      <c r="B28" s="2"/>
      <c r="C28" s="3"/>
      <c r="D28" s="177">
        <f>SUM(D4:D27)</f>
        <v>611</v>
      </c>
      <c r="E28" s="3"/>
      <c r="F28" s="2"/>
      <c r="G28" s="178">
        <f>SUM(G4:G27)</f>
        <v>39</v>
      </c>
      <c r="H28" s="178">
        <f>SUM(H4:H27)</f>
        <v>7210000</v>
      </c>
      <c r="I28" s="86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4330708661417323" right="0.4330708661417323" top="0.5511811023622047" bottom="0.5511811023622047" header="0.31496062992125984" footer="0.31496062992125984"/>
  <pageSetup fitToHeight="1" fitToWidth="1" orientation="landscape" paperSize="9" scale="88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28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4" customFormat="1" ht="43.5" customHeight="1">
      <c r="B1" s="374" t="s">
        <v>88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2:14" s="4" customFormat="1" ht="29.25" customHeight="1">
      <c r="B2" s="375" t="s">
        <v>123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52</v>
      </c>
      <c r="F3" s="63" t="s">
        <v>6</v>
      </c>
      <c r="G3" s="64" t="s">
        <v>5</v>
      </c>
      <c r="H3" s="65" t="s">
        <v>51</v>
      </c>
      <c r="I3" s="66"/>
      <c r="J3" s="138" t="s">
        <v>6</v>
      </c>
      <c r="K3" s="134"/>
      <c r="L3" s="135"/>
      <c r="M3" s="136" t="s">
        <v>5</v>
      </c>
      <c r="N3" s="137" t="s">
        <v>4</v>
      </c>
    </row>
    <row r="4" spans="1:14" s="73" customFormat="1" ht="18" customHeight="1">
      <c r="A4" s="120" t="s">
        <v>119</v>
      </c>
      <c r="B4" s="160">
        <v>11.8</v>
      </c>
      <c r="C4" s="74">
        <v>39</v>
      </c>
      <c r="D4" s="77">
        <v>28</v>
      </c>
      <c r="E4" s="174"/>
      <c r="F4" s="71">
        <v>1</v>
      </c>
      <c r="G4" s="68">
        <v>10</v>
      </c>
      <c r="H4" s="72">
        <f aca="true" t="shared" si="0" ref="H4:H11">N4+I4</f>
        <v>1550000</v>
      </c>
      <c r="I4" s="85">
        <f aca="true" t="shared" si="1" ref="I4:I11">IF(E4&gt;0,$N$13,0)+IF(C4&gt;0,50000,0)+IF(C12&lt;0,50000,0)</f>
        <v>50000</v>
      </c>
      <c r="J4" s="87" t="s">
        <v>8</v>
      </c>
      <c r="K4" s="88"/>
      <c r="L4" s="89"/>
      <c r="M4" s="78">
        <v>10</v>
      </c>
      <c r="N4" s="72">
        <f>N12*25%</f>
        <v>1500000</v>
      </c>
    </row>
    <row r="5" spans="1:14" s="73" customFormat="1" ht="18" customHeight="1">
      <c r="A5" s="120" t="s">
        <v>77</v>
      </c>
      <c r="B5" s="160">
        <v>23.2</v>
      </c>
      <c r="C5" s="71">
        <v>37</v>
      </c>
      <c r="D5" s="69">
        <v>33</v>
      </c>
      <c r="E5" s="70"/>
      <c r="F5" s="71">
        <v>2</v>
      </c>
      <c r="G5" s="71">
        <v>8</v>
      </c>
      <c r="H5" s="72">
        <f t="shared" si="0"/>
        <v>1250000</v>
      </c>
      <c r="I5" s="85">
        <f t="shared" si="1"/>
        <v>50000</v>
      </c>
      <c r="J5" s="90" t="s">
        <v>9</v>
      </c>
      <c r="K5" s="91"/>
      <c r="L5" s="92"/>
      <c r="M5" s="75">
        <v>8</v>
      </c>
      <c r="N5" s="72">
        <f>N12*20%</f>
        <v>1200000</v>
      </c>
    </row>
    <row r="6" spans="1:17" s="73" customFormat="1" ht="18" customHeight="1">
      <c r="A6" s="120" t="s">
        <v>58</v>
      </c>
      <c r="B6" s="160">
        <v>7</v>
      </c>
      <c r="C6" s="71">
        <v>36</v>
      </c>
      <c r="D6" s="69">
        <v>28</v>
      </c>
      <c r="E6" s="70"/>
      <c r="F6" s="76">
        <v>3</v>
      </c>
      <c r="G6" s="76">
        <v>6</v>
      </c>
      <c r="H6" s="72">
        <f t="shared" si="0"/>
        <v>950000</v>
      </c>
      <c r="I6" s="85">
        <f t="shared" si="1"/>
        <v>50000</v>
      </c>
      <c r="J6" s="90" t="s">
        <v>10</v>
      </c>
      <c r="K6" s="91"/>
      <c r="L6" s="92"/>
      <c r="M6" s="75">
        <v>6</v>
      </c>
      <c r="N6" s="72">
        <f>N12*15%</f>
        <v>900000</v>
      </c>
      <c r="Q6" s="179"/>
    </row>
    <row r="7" spans="1:18" s="73" customFormat="1" ht="18" customHeight="1">
      <c r="A7" s="120" t="s">
        <v>71</v>
      </c>
      <c r="B7" s="160">
        <v>6.6</v>
      </c>
      <c r="C7" s="71">
        <v>34</v>
      </c>
      <c r="D7" s="69">
        <v>27</v>
      </c>
      <c r="E7" s="70"/>
      <c r="F7" s="71">
        <v>4</v>
      </c>
      <c r="G7" s="71">
        <v>5</v>
      </c>
      <c r="H7" s="72">
        <f t="shared" si="0"/>
        <v>770000</v>
      </c>
      <c r="I7" s="85">
        <f t="shared" si="1"/>
        <v>50000</v>
      </c>
      <c r="J7" s="90" t="s">
        <v>11</v>
      </c>
      <c r="K7" s="91"/>
      <c r="L7" s="92"/>
      <c r="M7" s="75">
        <v>5</v>
      </c>
      <c r="N7" s="72">
        <f>N12*12%</f>
        <v>720000</v>
      </c>
      <c r="O7" s="79"/>
      <c r="P7" s="79"/>
      <c r="Q7" s="79"/>
      <c r="R7" s="80"/>
    </row>
    <row r="8" spans="1:14" s="73" customFormat="1" ht="18" customHeight="1">
      <c r="A8" s="120" t="s">
        <v>78</v>
      </c>
      <c r="B8" s="160">
        <v>13.5</v>
      </c>
      <c r="C8" s="71">
        <v>34</v>
      </c>
      <c r="D8" s="69">
        <v>32</v>
      </c>
      <c r="E8" s="70"/>
      <c r="F8" s="71">
        <v>5</v>
      </c>
      <c r="G8" s="71">
        <v>4</v>
      </c>
      <c r="H8" s="72">
        <f t="shared" si="0"/>
        <v>650000</v>
      </c>
      <c r="I8" s="85">
        <f t="shared" si="1"/>
        <v>50000</v>
      </c>
      <c r="J8" s="90" t="s">
        <v>12</v>
      </c>
      <c r="K8" s="91"/>
      <c r="L8" s="92"/>
      <c r="M8" s="75">
        <v>4</v>
      </c>
      <c r="N8" s="72">
        <f>N12*10%</f>
        <v>600000</v>
      </c>
    </row>
    <row r="9" spans="1:14" s="73" customFormat="1" ht="18" customHeight="1">
      <c r="A9" s="120" t="s">
        <v>109</v>
      </c>
      <c r="B9" s="160">
        <v>15.9</v>
      </c>
      <c r="C9" s="71">
        <v>34</v>
      </c>
      <c r="D9" s="69">
        <v>31</v>
      </c>
      <c r="E9" s="70"/>
      <c r="F9" s="81">
        <v>6</v>
      </c>
      <c r="G9" s="81">
        <v>3</v>
      </c>
      <c r="H9" s="72">
        <f t="shared" si="0"/>
        <v>530000</v>
      </c>
      <c r="I9" s="85">
        <f t="shared" si="1"/>
        <v>50000</v>
      </c>
      <c r="J9" s="90" t="s">
        <v>13</v>
      </c>
      <c r="K9" s="91"/>
      <c r="L9" s="92"/>
      <c r="M9" s="75">
        <v>3</v>
      </c>
      <c r="N9" s="72">
        <f>N12*8%</f>
        <v>480000</v>
      </c>
    </row>
    <row r="10" spans="1:14" s="73" customFormat="1" ht="18" customHeight="1">
      <c r="A10" s="120" t="s">
        <v>75</v>
      </c>
      <c r="B10" s="160">
        <v>16.4</v>
      </c>
      <c r="C10" s="71">
        <v>33</v>
      </c>
      <c r="D10" s="77">
        <v>33</v>
      </c>
      <c r="E10" s="70"/>
      <c r="F10" s="71">
        <v>7</v>
      </c>
      <c r="G10" s="71">
        <v>2</v>
      </c>
      <c r="H10" s="72">
        <f t="shared" si="0"/>
        <v>410000</v>
      </c>
      <c r="I10" s="85">
        <f t="shared" si="1"/>
        <v>50000</v>
      </c>
      <c r="J10" s="90" t="s">
        <v>14</v>
      </c>
      <c r="K10" s="91"/>
      <c r="L10" s="92"/>
      <c r="M10" s="75">
        <v>2</v>
      </c>
      <c r="N10" s="72">
        <f>N12*6%</f>
        <v>360000</v>
      </c>
    </row>
    <row r="11" spans="1:17" s="73" customFormat="1" ht="18" customHeight="1">
      <c r="A11" s="120" t="s">
        <v>74</v>
      </c>
      <c r="B11" s="160">
        <v>17.4</v>
      </c>
      <c r="C11" s="74">
        <v>33</v>
      </c>
      <c r="D11" s="77">
        <v>36</v>
      </c>
      <c r="E11" s="70">
        <v>3.04</v>
      </c>
      <c r="F11" s="71">
        <v>8</v>
      </c>
      <c r="G11" s="71">
        <v>1</v>
      </c>
      <c r="H11" s="72">
        <f t="shared" si="0"/>
        <v>650000</v>
      </c>
      <c r="I11" s="85">
        <f t="shared" si="1"/>
        <v>410000</v>
      </c>
      <c r="J11" s="90" t="s">
        <v>15</v>
      </c>
      <c r="K11" s="91"/>
      <c r="L11" s="92"/>
      <c r="M11" s="75">
        <v>1</v>
      </c>
      <c r="N11" s="72">
        <f>N12*4%</f>
        <v>240000</v>
      </c>
      <c r="Q11" s="179"/>
    </row>
    <row r="12" spans="1:14" s="73" customFormat="1" ht="18" customHeight="1">
      <c r="A12" s="120" t="s">
        <v>59</v>
      </c>
      <c r="B12" s="160">
        <v>18.3</v>
      </c>
      <c r="C12" s="68">
        <v>33</v>
      </c>
      <c r="D12" s="69">
        <v>36</v>
      </c>
      <c r="E12" s="70"/>
      <c r="F12" s="68"/>
      <c r="G12" s="71"/>
      <c r="H12" s="72">
        <f aca="true" t="shared" si="2" ref="H12:H27">I12</f>
        <v>50000</v>
      </c>
      <c r="I12" s="85">
        <f aca="true" t="shared" si="3" ref="I12:I27">IF(E12&gt;0,$N$13,0)+IF(C12&gt;0,50000,0)+IF(C12&lt;0,50000,0)</f>
        <v>50000</v>
      </c>
      <c r="J12" s="93" t="s">
        <v>3</v>
      </c>
      <c r="K12" s="91"/>
      <c r="L12" s="92"/>
      <c r="M12" s="75"/>
      <c r="N12" s="82">
        <v>6000000</v>
      </c>
    </row>
    <row r="13" spans="1:14" s="73" customFormat="1" ht="18" customHeight="1">
      <c r="A13" s="120" t="s">
        <v>61</v>
      </c>
      <c r="B13" s="160">
        <v>22</v>
      </c>
      <c r="C13" s="77">
        <v>33</v>
      </c>
      <c r="D13" s="69">
        <v>35</v>
      </c>
      <c r="E13" s="70"/>
      <c r="F13" s="71"/>
      <c r="G13" s="71"/>
      <c r="H13" s="72">
        <f t="shared" si="2"/>
        <v>50000</v>
      </c>
      <c r="I13" s="85">
        <f t="shared" si="3"/>
        <v>50000</v>
      </c>
      <c r="J13" s="122" t="s">
        <v>62</v>
      </c>
      <c r="K13" s="123"/>
      <c r="L13" s="124"/>
      <c r="M13" s="125">
        <v>1</v>
      </c>
      <c r="N13" s="126">
        <f>N10</f>
        <v>360000</v>
      </c>
    </row>
    <row r="14" spans="1:14" s="73" customFormat="1" ht="18" customHeight="1">
      <c r="A14" s="120" t="s">
        <v>110</v>
      </c>
      <c r="B14" s="160">
        <v>15.5</v>
      </c>
      <c r="C14" s="71">
        <v>31</v>
      </c>
      <c r="D14" s="69">
        <v>35</v>
      </c>
      <c r="E14" s="70"/>
      <c r="F14" s="71"/>
      <c r="G14" s="71"/>
      <c r="H14" s="72">
        <f t="shared" si="2"/>
        <v>50000</v>
      </c>
      <c r="I14" s="85">
        <f t="shared" si="3"/>
        <v>50000</v>
      </c>
      <c r="J14" s="131"/>
      <c r="K14" s="123"/>
      <c r="L14" s="123"/>
      <c r="M14" s="132"/>
      <c r="N14" s="133"/>
    </row>
    <row r="15" spans="1:14" s="73" customFormat="1" ht="18" customHeight="1">
      <c r="A15" s="120" t="s">
        <v>115</v>
      </c>
      <c r="B15" s="160">
        <v>14.2</v>
      </c>
      <c r="C15" s="74">
        <v>30</v>
      </c>
      <c r="D15" s="77">
        <v>34</v>
      </c>
      <c r="E15" s="70"/>
      <c r="F15" s="71"/>
      <c r="G15" s="71"/>
      <c r="H15" s="72">
        <f t="shared" si="2"/>
        <v>50000</v>
      </c>
      <c r="I15" s="85">
        <f t="shared" si="3"/>
        <v>50000</v>
      </c>
      <c r="J15" s="127"/>
      <c r="K15" s="128"/>
      <c r="L15" s="128"/>
      <c r="M15" s="129"/>
      <c r="N15" s="130"/>
    </row>
    <row r="16" spans="1:9" s="73" customFormat="1" ht="18" customHeight="1">
      <c r="A16" s="120" t="s">
        <v>70</v>
      </c>
      <c r="B16" s="160">
        <v>16.4</v>
      </c>
      <c r="C16" s="71">
        <v>30</v>
      </c>
      <c r="D16" s="69">
        <v>35</v>
      </c>
      <c r="E16" s="70"/>
      <c r="F16" s="76"/>
      <c r="G16" s="76"/>
      <c r="H16" s="72">
        <f t="shared" si="2"/>
        <v>50000</v>
      </c>
      <c r="I16" s="85">
        <f t="shared" si="3"/>
        <v>50000</v>
      </c>
    </row>
    <row r="17" spans="1:18" s="73" customFormat="1" ht="18" customHeight="1">
      <c r="A17" s="120" t="s">
        <v>76</v>
      </c>
      <c r="B17" s="160">
        <v>12.2</v>
      </c>
      <c r="C17" s="77">
        <v>27</v>
      </c>
      <c r="D17" s="69">
        <v>34</v>
      </c>
      <c r="E17" s="70"/>
      <c r="F17" s="76"/>
      <c r="G17" s="76"/>
      <c r="H17" s="72">
        <f t="shared" si="2"/>
        <v>50000</v>
      </c>
      <c r="I17" s="85">
        <f t="shared" si="3"/>
        <v>50000</v>
      </c>
      <c r="O17" s="79"/>
      <c r="P17" s="79"/>
      <c r="Q17" s="79"/>
      <c r="R17" s="80"/>
    </row>
    <row r="18" spans="1:13" s="73" customFormat="1" ht="18" customHeight="1">
      <c r="A18" s="120" t="s">
        <v>326</v>
      </c>
      <c r="B18" s="160">
        <v>15.2</v>
      </c>
      <c r="C18" s="71">
        <v>26</v>
      </c>
      <c r="D18" s="69">
        <v>37</v>
      </c>
      <c r="E18" s="70"/>
      <c r="F18" s="71"/>
      <c r="G18" s="71"/>
      <c r="H18" s="72">
        <f t="shared" si="2"/>
        <v>50000</v>
      </c>
      <c r="I18" s="85">
        <f t="shared" si="3"/>
        <v>50000</v>
      </c>
      <c r="J18" s="80"/>
      <c r="K18" s="80"/>
      <c r="L18" s="80"/>
      <c r="M18" s="80"/>
    </row>
    <row r="19" spans="1:13" s="73" customFormat="1" ht="18" customHeight="1">
      <c r="A19" s="120" t="s">
        <v>72</v>
      </c>
      <c r="B19" s="160">
        <v>17.6</v>
      </c>
      <c r="C19" s="74">
        <v>26</v>
      </c>
      <c r="D19" s="69">
        <v>38</v>
      </c>
      <c r="E19" s="70"/>
      <c r="F19" s="71"/>
      <c r="G19" s="71"/>
      <c r="H19" s="72">
        <f t="shared" si="2"/>
        <v>50000</v>
      </c>
      <c r="I19" s="85">
        <f t="shared" si="3"/>
        <v>50000</v>
      </c>
      <c r="J19" s="80"/>
      <c r="K19" s="80"/>
      <c r="L19" s="80"/>
      <c r="M19" s="80"/>
    </row>
    <row r="20" spans="1:9" s="4" customFormat="1" ht="18" customHeight="1">
      <c r="A20" s="120" t="s">
        <v>60</v>
      </c>
      <c r="B20" s="160">
        <v>8.1</v>
      </c>
      <c r="C20" s="74">
        <v>24</v>
      </c>
      <c r="D20" s="77">
        <v>35</v>
      </c>
      <c r="E20" s="70"/>
      <c r="F20" s="76"/>
      <c r="G20" s="76"/>
      <c r="H20" s="72">
        <f t="shared" si="2"/>
        <v>50000</v>
      </c>
      <c r="I20" s="85">
        <f t="shared" si="3"/>
        <v>50000</v>
      </c>
    </row>
    <row r="21" spans="1:9" s="4" customFormat="1" ht="18" customHeight="1">
      <c r="A21" s="120"/>
      <c r="B21" s="160"/>
      <c r="C21" s="77"/>
      <c r="D21" s="77"/>
      <c r="E21" s="70"/>
      <c r="F21" s="76"/>
      <c r="G21" s="76"/>
      <c r="H21" s="72">
        <f t="shared" si="2"/>
        <v>0</v>
      </c>
      <c r="I21" s="85">
        <f t="shared" si="3"/>
        <v>0</v>
      </c>
    </row>
    <row r="22" spans="1:9" s="4" customFormat="1" ht="18" customHeight="1">
      <c r="A22" s="120"/>
      <c r="B22" s="160"/>
      <c r="C22" s="71"/>
      <c r="D22" s="77"/>
      <c r="E22" s="70"/>
      <c r="F22" s="76"/>
      <c r="G22" s="76"/>
      <c r="H22" s="72">
        <f t="shared" si="2"/>
        <v>0</v>
      </c>
      <c r="I22" s="85">
        <f t="shared" si="3"/>
        <v>0</v>
      </c>
    </row>
    <row r="23" spans="1:9" s="4" customFormat="1" ht="18" customHeight="1">
      <c r="A23" s="120"/>
      <c r="B23" s="160"/>
      <c r="C23" s="71"/>
      <c r="D23" s="69"/>
      <c r="E23" s="70"/>
      <c r="F23" s="76"/>
      <c r="G23" s="76"/>
      <c r="H23" s="72">
        <f t="shared" si="2"/>
        <v>0</v>
      </c>
      <c r="I23" s="85">
        <f t="shared" si="3"/>
        <v>0</v>
      </c>
    </row>
    <row r="24" spans="1:9" s="4" customFormat="1" ht="18" customHeight="1">
      <c r="A24" s="120"/>
      <c r="B24" s="160"/>
      <c r="C24" s="71"/>
      <c r="D24" s="77"/>
      <c r="E24" s="70"/>
      <c r="F24" s="76"/>
      <c r="G24" s="76"/>
      <c r="H24" s="72">
        <f t="shared" si="2"/>
        <v>0</v>
      </c>
      <c r="I24" s="85">
        <f t="shared" si="3"/>
        <v>0</v>
      </c>
    </row>
    <row r="25" spans="1:9" s="4" customFormat="1" ht="18" customHeight="1">
      <c r="A25" s="120"/>
      <c r="B25" s="160"/>
      <c r="C25" s="71"/>
      <c r="D25" s="69"/>
      <c r="E25" s="70"/>
      <c r="F25" s="76"/>
      <c r="G25" s="76"/>
      <c r="H25" s="72">
        <f t="shared" si="2"/>
        <v>0</v>
      </c>
      <c r="I25" s="85">
        <f t="shared" si="3"/>
        <v>0</v>
      </c>
    </row>
    <row r="26" spans="1:9" s="4" customFormat="1" ht="18" customHeight="1">
      <c r="A26" s="120"/>
      <c r="B26" s="160"/>
      <c r="C26" s="74"/>
      <c r="D26" s="69"/>
      <c r="E26" s="70"/>
      <c r="F26" s="71"/>
      <c r="G26" s="71"/>
      <c r="H26" s="72">
        <f t="shared" si="2"/>
        <v>0</v>
      </c>
      <c r="I26" s="85">
        <f t="shared" si="3"/>
        <v>0</v>
      </c>
    </row>
    <row r="27" spans="1:9" s="4" customFormat="1" ht="18" customHeight="1">
      <c r="A27" s="120"/>
      <c r="B27" s="160"/>
      <c r="C27" s="71"/>
      <c r="D27" s="74"/>
      <c r="E27" s="70"/>
      <c r="F27" s="71"/>
      <c r="G27" s="71"/>
      <c r="H27" s="72">
        <f t="shared" si="2"/>
        <v>0</v>
      </c>
      <c r="I27" s="85">
        <f t="shared" si="3"/>
        <v>0</v>
      </c>
    </row>
    <row r="28" spans="1:9" ht="24" customHeight="1" thickBot="1">
      <c r="A28" s="1"/>
      <c r="B28" s="2"/>
      <c r="C28" s="3"/>
      <c r="D28" s="177">
        <f>SUM(D4:D27)</f>
        <v>567</v>
      </c>
      <c r="E28" s="3"/>
      <c r="F28" s="2"/>
      <c r="G28" s="178">
        <f>SUM(G4:G27)</f>
        <v>39</v>
      </c>
      <c r="H28" s="178">
        <f>SUM(H4:H27)</f>
        <v>7210000</v>
      </c>
      <c r="I28" s="86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4330708661417323" right="0.4330708661417323" top="0.5511811023622047" bottom="0.5511811023622047" header="0.31496062992125984" footer="0.31496062992125984"/>
  <pageSetup fitToHeight="1" fitToWidth="1" orientation="landscape" paperSize="9" scale="9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G4" sqref="G4:G11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4" customFormat="1" ht="43.5" customHeight="1">
      <c r="B1" s="374" t="s">
        <v>87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2:14" s="4" customFormat="1" ht="29.25" customHeight="1">
      <c r="B2" s="375" t="s">
        <v>289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s="320" customFormat="1" ht="27" customHeight="1">
      <c r="A3" s="314" t="s">
        <v>0</v>
      </c>
      <c r="B3" s="315" t="s">
        <v>1</v>
      </c>
      <c r="C3" s="315" t="s">
        <v>7</v>
      </c>
      <c r="D3" s="315" t="s">
        <v>2</v>
      </c>
      <c r="E3" s="315" t="s">
        <v>52</v>
      </c>
      <c r="F3" s="316" t="s">
        <v>6</v>
      </c>
      <c r="G3" s="317" t="s">
        <v>5</v>
      </c>
      <c r="H3" s="318" t="s">
        <v>51</v>
      </c>
      <c r="I3" s="319"/>
      <c r="J3" s="138" t="s">
        <v>6</v>
      </c>
      <c r="K3" s="134"/>
      <c r="L3" s="135"/>
      <c r="M3" s="136" t="s">
        <v>5</v>
      </c>
      <c r="N3" s="137" t="s">
        <v>4</v>
      </c>
    </row>
    <row r="4" spans="1:14" s="73" customFormat="1" ht="18" customHeight="1">
      <c r="A4" s="120" t="s">
        <v>70</v>
      </c>
      <c r="B4" s="160">
        <v>17</v>
      </c>
      <c r="C4" s="71">
        <v>69</v>
      </c>
      <c r="D4" s="77">
        <v>30</v>
      </c>
      <c r="E4" s="70"/>
      <c r="F4" s="71">
        <v>1</v>
      </c>
      <c r="G4" s="68">
        <v>10</v>
      </c>
      <c r="H4" s="72">
        <f aca="true" t="shared" si="0" ref="H4:H11">N4+I4</f>
        <v>2050000</v>
      </c>
      <c r="I4" s="85">
        <f>IF(E4&gt;0,$N$13,0)+IF(C4&gt;0,50000,0)+IF(C12&lt;0,50000,0)</f>
        <v>50000</v>
      </c>
      <c r="J4" s="87" t="s">
        <v>8</v>
      </c>
      <c r="K4" s="88"/>
      <c r="L4" s="89"/>
      <c r="M4" s="78">
        <v>10</v>
      </c>
      <c r="N4" s="72">
        <f>N12*25%</f>
        <v>2000000</v>
      </c>
    </row>
    <row r="5" spans="1:14" s="73" customFormat="1" ht="18" customHeight="1">
      <c r="A5" s="120" t="s">
        <v>58</v>
      </c>
      <c r="B5" s="160">
        <v>7</v>
      </c>
      <c r="C5" s="71">
        <v>73</v>
      </c>
      <c r="D5" s="69">
        <v>28</v>
      </c>
      <c r="E5" s="70"/>
      <c r="F5" s="71">
        <v>2</v>
      </c>
      <c r="G5" s="71">
        <v>8</v>
      </c>
      <c r="H5" s="72">
        <f t="shared" si="0"/>
        <v>1650000</v>
      </c>
      <c r="I5" s="85">
        <f aca="true" t="shared" si="1" ref="I5:I11">IF(E5&gt;0,$N$13,0)+IF(C5&gt;0,50000,0)+IF(C13&lt;0,50000,0)</f>
        <v>50000</v>
      </c>
      <c r="J5" s="90" t="s">
        <v>9</v>
      </c>
      <c r="K5" s="91"/>
      <c r="L5" s="92"/>
      <c r="M5" s="75">
        <v>8</v>
      </c>
      <c r="N5" s="72">
        <f>N12*20%</f>
        <v>1600000</v>
      </c>
    </row>
    <row r="6" spans="1:14" s="73" customFormat="1" ht="18" customHeight="1">
      <c r="A6" s="120" t="s">
        <v>109</v>
      </c>
      <c r="B6" s="160">
        <v>15.9</v>
      </c>
      <c r="C6" s="74">
        <v>74</v>
      </c>
      <c r="D6" s="77">
        <v>29</v>
      </c>
      <c r="E6" s="174"/>
      <c r="F6" s="76">
        <v>3</v>
      </c>
      <c r="G6" s="76">
        <v>6</v>
      </c>
      <c r="H6" s="72">
        <f t="shared" si="0"/>
        <v>1250000</v>
      </c>
      <c r="I6" s="85">
        <f t="shared" si="1"/>
        <v>50000</v>
      </c>
      <c r="J6" s="90" t="s">
        <v>10</v>
      </c>
      <c r="K6" s="91"/>
      <c r="L6" s="92"/>
      <c r="M6" s="75">
        <v>6</v>
      </c>
      <c r="N6" s="72">
        <f>N12*15%</f>
        <v>1200000</v>
      </c>
    </row>
    <row r="7" spans="1:18" s="73" customFormat="1" ht="18" customHeight="1">
      <c r="A7" s="120" t="s">
        <v>76</v>
      </c>
      <c r="B7" s="160">
        <v>12.5</v>
      </c>
      <c r="C7" s="71">
        <v>75</v>
      </c>
      <c r="D7" s="69">
        <v>32</v>
      </c>
      <c r="E7" s="70"/>
      <c r="F7" s="71">
        <v>4</v>
      </c>
      <c r="G7" s="71">
        <v>5</v>
      </c>
      <c r="H7" s="72">
        <f t="shared" si="0"/>
        <v>1010000</v>
      </c>
      <c r="I7" s="85">
        <f t="shared" si="1"/>
        <v>50000</v>
      </c>
      <c r="J7" s="90" t="s">
        <v>11</v>
      </c>
      <c r="K7" s="91"/>
      <c r="L7" s="92"/>
      <c r="M7" s="75">
        <v>5</v>
      </c>
      <c r="N7" s="72">
        <f>N12*12%</f>
        <v>960000</v>
      </c>
      <c r="O7" s="79"/>
      <c r="P7" s="79"/>
      <c r="Q7" s="79"/>
      <c r="R7" s="80"/>
    </row>
    <row r="8" spans="1:14" s="73" customFormat="1" ht="18" customHeight="1">
      <c r="A8" s="120" t="s">
        <v>119</v>
      </c>
      <c r="B8" s="160">
        <v>11.8</v>
      </c>
      <c r="C8" s="71">
        <v>76</v>
      </c>
      <c r="D8" s="69">
        <v>33</v>
      </c>
      <c r="E8" s="174"/>
      <c r="F8" s="71">
        <v>5</v>
      </c>
      <c r="G8" s="71">
        <v>4</v>
      </c>
      <c r="H8" s="72">
        <f t="shared" si="0"/>
        <v>850000</v>
      </c>
      <c r="I8" s="85">
        <f t="shared" si="1"/>
        <v>50000</v>
      </c>
      <c r="J8" s="90" t="s">
        <v>12</v>
      </c>
      <c r="K8" s="91"/>
      <c r="L8" s="92"/>
      <c r="M8" s="75">
        <v>4</v>
      </c>
      <c r="N8" s="72">
        <f>N12*10%</f>
        <v>800000</v>
      </c>
    </row>
    <row r="9" spans="1:14" s="73" customFormat="1" ht="18" customHeight="1">
      <c r="A9" s="120" t="s">
        <v>75</v>
      </c>
      <c r="B9" s="160">
        <v>16.3</v>
      </c>
      <c r="C9" s="74">
        <v>76</v>
      </c>
      <c r="D9" s="69">
        <v>30</v>
      </c>
      <c r="E9" s="70"/>
      <c r="F9" s="81">
        <v>6</v>
      </c>
      <c r="G9" s="81">
        <v>3</v>
      </c>
      <c r="H9" s="72">
        <f t="shared" si="0"/>
        <v>690000</v>
      </c>
      <c r="I9" s="85">
        <f>IF(E9&gt;0,$N$13,0)+IF(C9&gt;0,50000,0)+IF(C17&lt;0,50000,0)</f>
        <v>50000</v>
      </c>
      <c r="J9" s="90" t="s">
        <v>13</v>
      </c>
      <c r="K9" s="91"/>
      <c r="L9" s="92"/>
      <c r="M9" s="75">
        <v>3</v>
      </c>
      <c r="N9" s="72">
        <f>N12*8%</f>
        <v>640000</v>
      </c>
    </row>
    <row r="10" spans="1:14" s="73" customFormat="1" ht="18" customHeight="1">
      <c r="A10" s="120" t="s">
        <v>59</v>
      </c>
      <c r="B10" s="160">
        <v>18.2</v>
      </c>
      <c r="C10" s="68">
        <v>77</v>
      </c>
      <c r="D10" s="77">
        <v>31</v>
      </c>
      <c r="E10" s="70"/>
      <c r="F10" s="71">
        <v>7</v>
      </c>
      <c r="G10" s="71">
        <v>2</v>
      </c>
      <c r="H10" s="72">
        <f t="shared" si="0"/>
        <v>530000</v>
      </c>
      <c r="I10" s="85">
        <f t="shared" si="1"/>
        <v>50000</v>
      </c>
      <c r="J10" s="90" t="s">
        <v>14</v>
      </c>
      <c r="K10" s="91"/>
      <c r="L10" s="92"/>
      <c r="M10" s="75">
        <v>2</v>
      </c>
      <c r="N10" s="72">
        <f>N12*6%</f>
        <v>480000</v>
      </c>
    </row>
    <row r="11" spans="1:14" s="73" customFormat="1" ht="18" customHeight="1">
      <c r="A11" s="120" t="s">
        <v>77</v>
      </c>
      <c r="B11" s="160">
        <v>23.1</v>
      </c>
      <c r="C11" s="71">
        <v>78</v>
      </c>
      <c r="D11" s="69">
        <v>34</v>
      </c>
      <c r="E11" s="70">
        <v>4.17</v>
      </c>
      <c r="F11" s="71">
        <v>8</v>
      </c>
      <c r="G11" s="71">
        <v>1</v>
      </c>
      <c r="H11" s="72">
        <f t="shared" si="0"/>
        <v>850000</v>
      </c>
      <c r="I11" s="85">
        <f t="shared" si="1"/>
        <v>530000</v>
      </c>
      <c r="J11" s="90" t="s">
        <v>15</v>
      </c>
      <c r="K11" s="91"/>
      <c r="L11" s="92"/>
      <c r="M11" s="75">
        <v>1</v>
      </c>
      <c r="N11" s="72">
        <f>N12*4%</f>
        <v>320000</v>
      </c>
    </row>
    <row r="12" spans="1:14" s="73" customFormat="1" ht="18" customHeight="1">
      <c r="A12" s="120" t="s">
        <v>326</v>
      </c>
      <c r="B12" s="160">
        <v>15.1</v>
      </c>
      <c r="C12" s="71">
        <v>79</v>
      </c>
      <c r="D12" s="69">
        <v>31</v>
      </c>
      <c r="E12" s="174"/>
      <c r="F12" s="68"/>
      <c r="G12" s="71"/>
      <c r="H12" s="72">
        <f aca="true" t="shared" si="2" ref="H12:H27">I12</f>
        <v>50000</v>
      </c>
      <c r="I12" s="85">
        <f aca="true" t="shared" si="3" ref="I12:I27">IF(E12&gt;0,$N$13,0)+IF(C12&gt;0,50000,0)+IF(C12&lt;0,50000,0)</f>
        <v>50000</v>
      </c>
      <c r="J12" s="93" t="s">
        <v>3</v>
      </c>
      <c r="K12" s="91"/>
      <c r="L12" s="92"/>
      <c r="M12" s="75"/>
      <c r="N12" s="82">
        <v>8000000</v>
      </c>
    </row>
    <row r="13" spans="1:14" s="73" customFormat="1" ht="18" customHeight="1">
      <c r="A13" s="120" t="s">
        <v>111</v>
      </c>
      <c r="B13" s="160">
        <v>13.9</v>
      </c>
      <c r="C13" s="71">
        <v>80</v>
      </c>
      <c r="D13" s="77">
        <v>31</v>
      </c>
      <c r="E13" s="70"/>
      <c r="F13" s="71"/>
      <c r="G13" s="71"/>
      <c r="H13" s="72">
        <f t="shared" si="2"/>
        <v>50000</v>
      </c>
      <c r="I13" s="85">
        <f t="shared" si="3"/>
        <v>50000</v>
      </c>
      <c r="J13" s="122" t="s">
        <v>62</v>
      </c>
      <c r="K13" s="123"/>
      <c r="L13" s="124"/>
      <c r="M13" s="125">
        <v>1</v>
      </c>
      <c r="N13" s="126">
        <f>N10</f>
        <v>480000</v>
      </c>
    </row>
    <row r="14" spans="1:14" s="73" customFormat="1" ht="18" customHeight="1">
      <c r="A14" s="120" t="s">
        <v>71</v>
      </c>
      <c r="B14" s="160">
        <v>6.6</v>
      </c>
      <c r="C14" s="74">
        <v>81</v>
      </c>
      <c r="D14" s="69">
        <v>33</v>
      </c>
      <c r="E14" s="70"/>
      <c r="F14" s="71"/>
      <c r="G14" s="71"/>
      <c r="H14" s="72">
        <f t="shared" si="2"/>
        <v>50000</v>
      </c>
      <c r="I14" s="85">
        <f t="shared" si="3"/>
        <v>50000</v>
      </c>
      <c r="J14" s="131"/>
      <c r="K14" s="123"/>
      <c r="L14" s="123"/>
      <c r="M14" s="132"/>
      <c r="N14" s="133"/>
    </row>
    <row r="15" spans="1:14" s="73" customFormat="1" ht="18" customHeight="1">
      <c r="A15" s="120" t="s">
        <v>60</v>
      </c>
      <c r="B15" s="160">
        <v>8</v>
      </c>
      <c r="C15" s="77">
        <v>81</v>
      </c>
      <c r="D15" s="69">
        <v>28</v>
      </c>
      <c r="E15" s="70"/>
      <c r="F15" s="71"/>
      <c r="G15" s="71"/>
      <c r="H15" s="72">
        <f t="shared" si="2"/>
        <v>50000</v>
      </c>
      <c r="I15" s="85">
        <f t="shared" si="3"/>
        <v>50000</v>
      </c>
      <c r="J15" s="127"/>
      <c r="K15" s="128"/>
      <c r="L15" s="128"/>
      <c r="M15" s="129"/>
      <c r="N15" s="130"/>
    </row>
    <row r="16" spans="1:9" s="73" customFormat="1" ht="18" customHeight="1">
      <c r="A16" s="120" t="s">
        <v>65</v>
      </c>
      <c r="B16" s="160">
        <v>10.6</v>
      </c>
      <c r="C16" s="71">
        <v>81</v>
      </c>
      <c r="D16" s="69">
        <v>32</v>
      </c>
      <c r="E16" s="70"/>
      <c r="F16" s="76"/>
      <c r="G16" s="76"/>
      <c r="H16" s="72">
        <f t="shared" si="2"/>
        <v>50000</v>
      </c>
      <c r="I16" s="85">
        <f t="shared" si="3"/>
        <v>50000</v>
      </c>
    </row>
    <row r="17" spans="1:18" s="73" customFormat="1" ht="18" customHeight="1">
      <c r="A17" s="120" t="s">
        <v>66</v>
      </c>
      <c r="B17" s="160">
        <v>24.4</v>
      </c>
      <c r="C17" s="71">
        <v>95</v>
      </c>
      <c r="D17" s="77">
        <v>41</v>
      </c>
      <c r="E17" s="70"/>
      <c r="F17" s="76"/>
      <c r="G17" s="76"/>
      <c r="H17" s="72">
        <f t="shared" si="2"/>
        <v>50000</v>
      </c>
      <c r="I17" s="85">
        <f t="shared" si="3"/>
        <v>50000</v>
      </c>
      <c r="O17" s="79"/>
      <c r="P17" s="79"/>
      <c r="Q17" s="79"/>
      <c r="R17" s="80"/>
    </row>
    <row r="18" spans="1:12" s="73" customFormat="1" ht="18" customHeight="1">
      <c r="A18" s="120"/>
      <c r="B18" s="160"/>
      <c r="C18" s="71"/>
      <c r="D18" s="69"/>
      <c r="E18" s="174"/>
      <c r="F18" s="71"/>
      <c r="G18" s="71"/>
      <c r="H18" s="72">
        <f t="shared" si="2"/>
        <v>0</v>
      </c>
      <c r="I18" s="85">
        <f t="shared" si="3"/>
        <v>0</v>
      </c>
      <c r="J18" s="80"/>
      <c r="K18" s="80"/>
      <c r="L18" s="80"/>
    </row>
    <row r="19" spans="1:12" s="73" customFormat="1" ht="18" customHeight="1">
      <c r="A19" s="120"/>
      <c r="B19" s="160"/>
      <c r="C19" s="74"/>
      <c r="D19" s="69"/>
      <c r="E19" s="174"/>
      <c r="F19" s="71"/>
      <c r="G19" s="71"/>
      <c r="H19" s="72">
        <f t="shared" si="2"/>
        <v>0</v>
      </c>
      <c r="I19" s="85">
        <f t="shared" si="3"/>
        <v>0</v>
      </c>
      <c r="J19" s="80"/>
      <c r="K19" s="80"/>
      <c r="L19" s="80"/>
    </row>
    <row r="20" spans="1:9" s="4" customFormat="1" ht="18" customHeight="1">
      <c r="A20" s="120"/>
      <c r="B20" s="160"/>
      <c r="C20" s="71"/>
      <c r="D20" s="77"/>
      <c r="E20" s="70"/>
      <c r="F20" s="76"/>
      <c r="G20" s="76"/>
      <c r="H20" s="72">
        <f t="shared" si="2"/>
        <v>0</v>
      </c>
      <c r="I20" s="85">
        <f t="shared" si="3"/>
        <v>0</v>
      </c>
    </row>
    <row r="21" spans="1:9" s="4" customFormat="1" ht="18" customHeight="1">
      <c r="A21" s="120"/>
      <c r="B21" s="160"/>
      <c r="C21" s="76"/>
      <c r="D21" s="69"/>
      <c r="E21" s="70"/>
      <c r="F21" s="76"/>
      <c r="G21" s="76"/>
      <c r="H21" s="72">
        <f t="shared" si="2"/>
        <v>0</v>
      </c>
      <c r="I21" s="85">
        <f t="shared" si="3"/>
        <v>0</v>
      </c>
    </row>
    <row r="22" spans="1:9" s="4" customFormat="1" ht="18" customHeight="1">
      <c r="A22" s="120"/>
      <c r="B22" s="160"/>
      <c r="C22" s="76"/>
      <c r="D22" s="77"/>
      <c r="E22" s="70"/>
      <c r="F22" s="76"/>
      <c r="G22" s="76"/>
      <c r="H22" s="72">
        <f t="shared" si="2"/>
        <v>0</v>
      </c>
      <c r="I22" s="85">
        <f t="shared" si="3"/>
        <v>0</v>
      </c>
    </row>
    <row r="23" spans="1:9" s="4" customFormat="1" ht="18" customHeight="1">
      <c r="A23" s="120"/>
      <c r="B23" s="160"/>
      <c r="C23" s="71"/>
      <c r="D23" s="74"/>
      <c r="E23" s="70"/>
      <c r="F23" s="76"/>
      <c r="G23" s="76"/>
      <c r="H23" s="72">
        <f t="shared" si="2"/>
        <v>0</v>
      </c>
      <c r="I23" s="85">
        <f>IF(E23&gt;0,$N$13,0)+IF(C23&gt;0,50000,0)+IF(C23&lt;0,50000,0)</f>
        <v>0</v>
      </c>
    </row>
    <row r="24" spans="1:9" s="4" customFormat="1" ht="18" customHeight="1">
      <c r="A24" s="120"/>
      <c r="B24" s="160"/>
      <c r="C24" s="71"/>
      <c r="D24" s="69"/>
      <c r="E24" s="174"/>
      <c r="F24" s="76"/>
      <c r="G24" s="76"/>
      <c r="H24" s="72">
        <f t="shared" si="2"/>
        <v>0</v>
      </c>
      <c r="I24" s="85">
        <f t="shared" si="3"/>
        <v>0</v>
      </c>
    </row>
    <row r="25" spans="1:9" s="4" customFormat="1" ht="18" customHeight="1">
      <c r="A25" s="120"/>
      <c r="B25" s="160"/>
      <c r="C25" s="74"/>
      <c r="D25" s="69"/>
      <c r="E25" s="174"/>
      <c r="F25" s="76"/>
      <c r="G25" s="76"/>
      <c r="H25" s="72">
        <f t="shared" si="2"/>
        <v>0</v>
      </c>
      <c r="I25" s="85">
        <f t="shared" si="3"/>
        <v>0</v>
      </c>
    </row>
    <row r="26" spans="1:9" s="4" customFormat="1" ht="18" customHeight="1">
      <c r="A26" s="120"/>
      <c r="B26" s="160"/>
      <c r="C26" s="74"/>
      <c r="D26" s="77"/>
      <c r="E26" s="174"/>
      <c r="F26" s="71"/>
      <c r="G26" s="71"/>
      <c r="H26" s="72">
        <f t="shared" si="2"/>
        <v>0</v>
      </c>
      <c r="I26" s="85">
        <f t="shared" si="3"/>
        <v>0</v>
      </c>
    </row>
    <row r="27" spans="1:9" s="4" customFormat="1" ht="18" customHeight="1">
      <c r="A27" s="121"/>
      <c r="B27" s="67"/>
      <c r="C27" s="71"/>
      <c r="D27" s="69"/>
      <c r="E27" s="70"/>
      <c r="F27" s="71"/>
      <c r="G27" s="71"/>
      <c r="H27" s="72">
        <f t="shared" si="2"/>
        <v>0</v>
      </c>
      <c r="I27" s="85">
        <f t="shared" si="3"/>
        <v>0</v>
      </c>
    </row>
    <row r="28" spans="1:9" ht="24" customHeight="1" thickBot="1">
      <c r="A28" s="1"/>
      <c r="B28" s="2"/>
      <c r="C28" s="3"/>
      <c r="D28" s="177">
        <f>SUM(D4:D27)</f>
        <v>443</v>
      </c>
      <c r="E28" s="3"/>
      <c r="F28" s="2"/>
      <c r="G28" s="178">
        <f>SUM(G4:G27)</f>
        <v>39</v>
      </c>
      <c r="H28" s="178">
        <f>SUM(H4:H27)</f>
        <v>9180000</v>
      </c>
      <c r="I28" s="86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4330708661417323" right="0.4330708661417323" top="0.5511811023622047" bottom="0.5511811023622047" header="0.31496062992125984" footer="0.31496062992125984"/>
  <pageSetup fitToHeight="1" fitToWidth="1" orientation="landscape" paperSize="9" scale="88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28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4" customFormat="1" ht="43.5" customHeight="1">
      <c r="B1" s="374" t="s">
        <v>86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2:14" s="4" customFormat="1" ht="29.25" customHeight="1">
      <c r="B2" s="375" t="s">
        <v>288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52</v>
      </c>
      <c r="F3" s="63" t="s">
        <v>6</v>
      </c>
      <c r="G3" s="64" t="s">
        <v>5</v>
      </c>
      <c r="H3" s="65" t="s">
        <v>51</v>
      </c>
      <c r="I3" s="66"/>
      <c r="J3" s="138" t="s">
        <v>6</v>
      </c>
      <c r="K3" s="134"/>
      <c r="L3" s="135"/>
      <c r="M3" s="136" t="s">
        <v>5</v>
      </c>
      <c r="N3" s="137" t="s">
        <v>4</v>
      </c>
    </row>
    <row r="4" spans="1:14" s="73" customFormat="1" ht="18" customHeight="1">
      <c r="A4" s="120" t="s">
        <v>78</v>
      </c>
      <c r="B4" s="160">
        <v>13.5</v>
      </c>
      <c r="C4" s="71">
        <v>36</v>
      </c>
      <c r="D4" s="69">
        <v>32</v>
      </c>
      <c r="E4" s="70"/>
      <c r="F4" s="71">
        <v>1</v>
      </c>
      <c r="G4" s="68">
        <v>10</v>
      </c>
      <c r="H4" s="72">
        <f aca="true" t="shared" si="0" ref="H4:H11">N4+I4</f>
        <v>1550000</v>
      </c>
      <c r="I4" s="85">
        <f aca="true" t="shared" si="1" ref="I4:I11">IF(E4&gt;0,$N$13,0)+IF(C4&gt;0,50000,0)+IF(C12&lt;0,50000,0)</f>
        <v>50000</v>
      </c>
      <c r="J4" s="87" t="s">
        <v>8</v>
      </c>
      <c r="K4" s="88"/>
      <c r="L4" s="89"/>
      <c r="M4" s="78">
        <v>10</v>
      </c>
      <c r="N4" s="72">
        <f>N12*25%</f>
        <v>1500000</v>
      </c>
    </row>
    <row r="5" spans="1:14" s="73" customFormat="1" ht="18" customHeight="1">
      <c r="A5" s="120" t="s">
        <v>110</v>
      </c>
      <c r="B5" s="160">
        <v>15.5</v>
      </c>
      <c r="C5" s="74">
        <v>36</v>
      </c>
      <c r="D5" s="77">
        <v>30</v>
      </c>
      <c r="E5" s="70"/>
      <c r="F5" s="71">
        <v>2</v>
      </c>
      <c r="G5" s="71">
        <v>8</v>
      </c>
      <c r="H5" s="72">
        <f t="shared" si="0"/>
        <v>1250000</v>
      </c>
      <c r="I5" s="85">
        <f t="shared" si="1"/>
        <v>50000</v>
      </c>
      <c r="J5" s="90" t="s">
        <v>9</v>
      </c>
      <c r="K5" s="91"/>
      <c r="L5" s="92"/>
      <c r="M5" s="75">
        <v>8</v>
      </c>
      <c r="N5" s="72">
        <f>N12*20%</f>
        <v>1200000</v>
      </c>
    </row>
    <row r="6" spans="1:14" s="73" customFormat="1" ht="18" customHeight="1">
      <c r="A6" s="120" t="s">
        <v>71</v>
      </c>
      <c r="B6" s="160">
        <v>6.6</v>
      </c>
      <c r="C6" s="71">
        <v>35</v>
      </c>
      <c r="D6" s="77">
        <v>27</v>
      </c>
      <c r="E6" s="174"/>
      <c r="F6" s="76">
        <v>3</v>
      </c>
      <c r="G6" s="76">
        <v>6</v>
      </c>
      <c r="H6" s="72">
        <f t="shared" si="0"/>
        <v>950000</v>
      </c>
      <c r="I6" s="85">
        <f t="shared" si="1"/>
        <v>50000</v>
      </c>
      <c r="J6" s="90" t="s">
        <v>10</v>
      </c>
      <c r="K6" s="91"/>
      <c r="L6" s="92"/>
      <c r="M6" s="75">
        <v>6</v>
      </c>
      <c r="N6" s="72">
        <f>N12*15%</f>
        <v>900000</v>
      </c>
    </row>
    <row r="7" spans="1:18" s="73" customFormat="1" ht="18" customHeight="1">
      <c r="A7" s="120" t="s">
        <v>116</v>
      </c>
      <c r="B7" s="160">
        <v>17.3</v>
      </c>
      <c r="C7" s="71">
        <v>34</v>
      </c>
      <c r="D7" s="77">
        <v>36</v>
      </c>
      <c r="E7" s="174"/>
      <c r="F7" s="71">
        <v>4</v>
      </c>
      <c r="G7" s="71">
        <v>5</v>
      </c>
      <c r="H7" s="72">
        <f t="shared" si="0"/>
        <v>770000</v>
      </c>
      <c r="I7" s="85">
        <f t="shared" si="1"/>
        <v>50000</v>
      </c>
      <c r="J7" s="90" t="s">
        <v>11</v>
      </c>
      <c r="K7" s="91"/>
      <c r="L7" s="92"/>
      <c r="M7" s="75">
        <v>5</v>
      </c>
      <c r="N7" s="72">
        <f>N12*12%</f>
        <v>720000</v>
      </c>
      <c r="O7" s="79"/>
      <c r="P7" s="79"/>
      <c r="Q7" s="79"/>
      <c r="R7" s="80"/>
    </row>
    <row r="8" spans="1:14" s="73" customFormat="1" ht="18" customHeight="1">
      <c r="A8" s="120" t="s">
        <v>66</v>
      </c>
      <c r="B8" s="160">
        <v>24.4</v>
      </c>
      <c r="C8" s="71">
        <v>34</v>
      </c>
      <c r="D8" s="69">
        <v>37</v>
      </c>
      <c r="E8" s="70">
        <v>5.86</v>
      </c>
      <c r="F8" s="71">
        <v>5</v>
      </c>
      <c r="G8" s="71">
        <v>4</v>
      </c>
      <c r="H8" s="72">
        <f t="shared" si="0"/>
        <v>1010000</v>
      </c>
      <c r="I8" s="85">
        <f t="shared" si="1"/>
        <v>410000</v>
      </c>
      <c r="J8" s="90" t="s">
        <v>12</v>
      </c>
      <c r="K8" s="91"/>
      <c r="L8" s="92"/>
      <c r="M8" s="75">
        <v>4</v>
      </c>
      <c r="N8" s="72">
        <f>N12*10%</f>
        <v>600000</v>
      </c>
    </row>
    <row r="9" spans="1:14" s="73" customFormat="1" ht="18" customHeight="1">
      <c r="A9" s="120" t="s">
        <v>58</v>
      </c>
      <c r="B9" s="160">
        <v>6.9</v>
      </c>
      <c r="C9" s="71">
        <v>33</v>
      </c>
      <c r="D9" s="69">
        <v>29</v>
      </c>
      <c r="E9" s="174"/>
      <c r="F9" s="81">
        <v>6</v>
      </c>
      <c r="G9" s="81">
        <v>3</v>
      </c>
      <c r="H9" s="72">
        <f t="shared" si="0"/>
        <v>530000</v>
      </c>
      <c r="I9" s="85">
        <f t="shared" si="1"/>
        <v>50000</v>
      </c>
      <c r="J9" s="90" t="s">
        <v>13</v>
      </c>
      <c r="K9" s="91"/>
      <c r="L9" s="92"/>
      <c r="M9" s="75">
        <v>3</v>
      </c>
      <c r="N9" s="72">
        <f>N12*8%</f>
        <v>480000</v>
      </c>
    </row>
    <row r="10" spans="1:14" s="73" customFormat="1" ht="18" customHeight="1">
      <c r="A10" s="120" t="s">
        <v>75</v>
      </c>
      <c r="B10" s="160">
        <v>16.1</v>
      </c>
      <c r="C10" s="76">
        <v>32</v>
      </c>
      <c r="D10" s="69">
        <v>33</v>
      </c>
      <c r="E10" s="70"/>
      <c r="F10" s="71">
        <v>7</v>
      </c>
      <c r="G10" s="71">
        <v>2</v>
      </c>
      <c r="H10" s="72">
        <f t="shared" si="0"/>
        <v>410000</v>
      </c>
      <c r="I10" s="85">
        <f t="shared" si="1"/>
        <v>50000</v>
      </c>
      <c r="J10" s="90" t="s">
        <v>14</v>
      </c>
      <c r="K10" s="91"/>
      <c r="L10" s="92"/>
      <c r="M10" s="75">
        <v>2</v>
      </c>
      <c r="N10" s="72">
        <f>N12*6%</f>
        <v>360000</v>
      </c>
    </row>
    <row r="11" spans="1:14" s="73" customFormat="1" ht="18" customHeight="1">
      <c r="A11" s="120" t="s">
        <v>111</v>
      </c>
      <c r="B11" s="160">
        <v>13.8</v>
      </c>
      <c r="C11" s="71">
        <v>31</v>
      </c>
      <c r="D11" s="69">
        <v>31</v>
      </c>
      <c r="E11" s="70"/>
      <c r="F11" s="71">
        <v>8</v>
      </c>
      <c r="G11" s="71">
        <v>1</v>
      </c>
      <c r="H11" s="72">
        <f t="shared" si="0"/>
        <v>290000</v>
      </c>
      <c r="I11" s="85">
        <f t="shared" si="1"/>
        <v>50000</v>
      </c>
      <c r="J11" s="90" t="s">
        <v>15</v>
      </c>
      <c r="K11" s="91"/>
      <c r="L11" s="92"/>
      <c r="M11" s="75">
        <v>1</v>
      </c>
      <c r="N11" s="72">
        <f>N12*4%</f>
        <v>240000</v>
      </c>
    </row>
    <row r="12" spans="1:14" s="73" customFormat="1" ht="18" customHeight="1">
      <c r="A12" s="120" t="s">
        <v>109</v>
      </c>
      <c r="B12" s="160">
        <v>15.8</v>
      </c>
      <c r="C12" s="76">
        <v>31</v>
      </c>
      <c r="D12" s="77">
        <v>32</v>
      </c>
      <c r="E12" s="70"/>
      <c r="F12" s="68"/>
      <c r="G12" s="71"/>
      <c r="H12" s="72">
        <f aca="true" t="shared" si="2" ref="H12:H27">I12</f>
        <v>50000</v>
      </c>
      <c r="I12" s="85">
        <f aca="true" t="shared" si="3" ref="I12:I27">IF(E12&gt;0,$N$13,0)+IF(C12&gt;0,50000,0)+IF(C12&lt;0,50000,0)</f>
        <v>50000</v>
      </c>
      <c r="J12" s="93" t="s">
        <v>3</v>
      </c>
      <c r="K12" s="91"/>
      <c r="L12" s="92"/>
      <c r="M12" s="75"/>
      <c r="N12" s="82">
        <v>6000000</v>
      </c>
    </row>
    <row r="13" spans="1:14" s="73" customFormat="1" ht="18" customHeight="1">
      <c r="A13" s="120" t="s">
        <v>70</v>
      </c>
      <c r="B13" s="160">
        <v>16.9</v>
      </c>
      <c r="C13" s="74">
        <v>29</v>
      </c>
      <c r="D13" s="69">
        <v>37</v>
      </c>
      <c r="E13" s="70"/>
      <c r="F13" s="71"/>
      <c r="G13" s="71"/>
      <c r="H13" s="72">
        <f t="shared" si="2"/>
        <v>50000</v>
      </c>
      <c r="I13" s="85">
        <f t="shared" si="3"/>
        <v>50000</v>
      </c>
      <c r="J13" s="122" t="s">
        <v>62</v>
      </c>
      <c r="K13" s="123"/>
      <c r="L13" s="124"/>
      <c r="M13" s="125">
        <v>1</v>
      </c>
      <c r="N13" s="126">
        <f>N10</f>
        <v>360000</v>
      </c>
    </row>
    <row r="14" spans="1:14" s="73" customFormat="1" ht="18" customHeight="1">
      <c r="A14" s="120" t="s">
        <v>77</v>
      </c>
      <c r="B14" s="160">
        <v>23</v>
      </c>
      <c r="C14" s="74">
        <v>29</v>
      </c>
      <c r="D14" s="69">
        <v>36</v>
      </c>
      <c r="E14" s="174"/>
      <c r="F14" s="71"/>
      <c r="G14" s="71"/>
      <c r="H14" s="72">
        <f t="shared" si="2"/>
        <v>50000</v>
      </c>
      <c r="I14" s="85">
        <f t="shared" si="3"/>
        <v>50000</v>
      </c>
      <c r="J14" s="131"/>
      <c r="K14" s="123"/>
      <c r="L14" s="123"/>
      <c r="M14" s="132"/>
      <c r="N14" s="133"/>
    </row>
    <row r="15" spans="1:14" s="73" customFormat="1" ht="18" customHeight="1">
      <c r="A15" s="120" t="s">
        <v>59</v>
      </c>
      <c r="B15" s="160">
        <v>18.1</v>
      </c>
      <c r="C15" s="74">
        <v>28</v>
      </c>
      <c r="D15" s="69">
        <v>38</v>
      </c>
      <c r="E15" s="70"/>
      <c r="F15" s="71"/>
      <c r="G15" s="71"/>
      <c r="H15" s="72">
        <f t="shared" si="2"/>
        <v>50000</v>
      </c>
      <c r="I15" s="85">
        <f t="shared" si="3"/>
        <v>50000</v>
      </c>
      <c r="J15" s="127"/>
      <c r="K15" s="128"/>
      <c r="L15" s="128"/>
      <c r="M15" s="129"/>
      <c r="N15" s="130"/>
    </row>
    <row r="16" spans="1:9" s="73" customFormat="1" ht="18" customHeight="1">
      <c r="A16" s="120" t="s">
        <v>74</v>
      </c>
      <c r="B16" s="160">
        <v>17.3</v>
      </c>
      <c r="C16" s="71">
        <v>27</v>
      </c>
      <c r="D16" s="69">
        <v>36</v>
      </c>
      <c r="E16" s="70"/>
      <c r="F16" s="76"/>
      <c r="G16" s="76"/>
      <c r="H16" s="72">
        <f t="shared" si="2"/>
        <v>50000</v>
      </c>
      <c r="I16" s="85">
        <f t="shared" si="3"/>
        <v>50000</v>
      </c>
    </row>
    <row r="17" spans="1:13" s="73" customFormat="1" ht="18" customHeight="1">
      <c r="A17" s="120" t="s">
        <v>326</v>
      </c>
      <c r="B17" s="160">
        <v>15</v>
      </c>
      <c r="C17" s="74">
        <v>24</v>
      </c>
      <c r="D17" s="69">
        <v>38</v>
      </c>
      <c r="E17" s="174"/>
      <c r="F17" s="76"/>
      <c r="G17" s="76"/>
      <c r="H17" s="72">
        <f t="shared" si="2"/>
        <v>50000</v>
      </c>
      <c r="I17" s="85">
        <f t="shared" si="3"/>
        <v>50000</v>
      </c>
      <c r="J17" s="79"/>
      <c r="K17" s="79"/>
      <c r="L17" s="79"/>
      <c r="M17" s="80"/>
    </row>
    <row r="18" spans="1:13" s="73" customFormat="1" ht="18" customHeight="1">
      <c r="A18" s="120" t="s">
        <v>60</v>
      </c>
      <c r="B18" s="160">
        <v>7.9</v>
      </c>
      <c r="C18" s="71">
        <v>18</v>
      </c>
      <c r="D18" s="69">
        <v>37</v>
      </c>
      <c r="E18" s="70"/>
      <c r="F18" s="71"/>
      <c r="G18" s="71"/>
      <c r="H18" s="72">
        <f t="shared" si="2"/>
        <v>50000</v>
      </c>
      <c r="I18" s="85">
        <f t="shared" si="3"/>
        <v>50000</v>
      </c>
      <c r="J18" s="80"/>
      <c r="K18" s="80"/>
      <c r="L18" s="80"/>
      <c r="M18" s="80"/>
    </row>
    <row r="19" spans="1:13" s="73" customFormat="1" ht="18" customHeight="1">
      <c r="A19" s="120" t="s">
        <v>118</v>
      </c>
      <c r="B19" s="160">
        <v>20</v>
      </c>
      <c r="C19" s="71">
        <v>18</v>
      </c>
      <c r="D19" s="69">
        <v>37</v>
      </c>
      <c r="E19" s="70"/>
      <c r="F19" s="71"/>
      <c r="G19" s="71"/>
      <c r="H19" s="72">
        <f t="shared" si="2"/>
        <v>50000</v>
      </c>
      <c r="I19" s="85">
        <f t="shared" si="3"/>
        <v>50000</v>
      </c>
      <c r="J19" s="80"/>
      <c r="K19" s="80"/>
      <c r="L19" s="80"/>
      <c r="M19" s="80"/>
    </row>
    <row r="20" spans="1:9" s="4" customFormat="1" ht="18" customHeight="1">
      <c r="A20" s="120"/>
      <c r="B20" s="160"/>
      <c r="C20" s="77"/>
      <c r="D20" s="69"/>
      <c r="E20" s="174"/>
      <c r="F20" s="76"/>
      <c r="G20" s="76"/>
      <c r="H20" s="72">
        <f t="shared" si="2"/>
        <v>0</v>
      </c>
      <c r="I20" s="85">
        <f t="shared" si="3"/>
        <v>0</v>
      </c>
    </row>
    <row r="21" spans="1:9" s="4" customFormat="1" ht="18" customHeight="1">
      <c r="A21" s="120"/>
      <c r="B21" s="160"/>
      <c r="C21" s="74"/>
      <c r="D21" s="77"/>
      <c r="E21" s="174"/>
      <c r="F21" s="76"/>
      <c r="G21" s="76"/>
      <c r="H21" s="72">
        <f t="shared" si="2"/>
        <v>0</v>
      </c>
      <c r="I21" s="85">
        <f t="shared" si="3"/>
        <v>0</v>
      </c>
    </row>
    <row r="22" spans="1:9" s="4" customFormat="1" ht="18" customHeight="1">
      <c r="A22" s="120"/>
      <c r="B22" s="160"/>
      <c r="C22" s="68"/>
      <c r="D22" s="77"/>
      <c r="E22" s="174"/>
      <c r="F22" s="76"/>
      <c r="G22" s="76"/>
      <c r="H22" s="72">
        <f t="shared" si="2"/>
        <v>0</v>
      </c>
      <c r="I22" s="85">
        <f t="shared" si="3"/>
        <v>0</v>
      </c>
    </row>
    <row r="23" spans="1:9" s="4" customFormat="1" ht="18" customHeight="1">
      <c r="A23" s="120"/>
      <c r="B23" s="160"/>
      <c r="C23" s="71"/>
      <c r="D23" s="69"/>
      <c r="E23" s="70"/>
      <c r="F23" s="76"/>
      <c r="G23" s="76"/>
      <c r="H23" s="72">
        <f t="shared" si="2"/>
        <v>0</v>
      </c>
      <c r="I23" s="85">
        <f t="shared" si="3"/>
        <v>0</v>
      </c>
    </row>
    <row r="24" spans="1:9" s="4" customFormat="1" ht="18" customHeight="1">
      <c r="A24" s="120"/>
      <c r="B24" s="160"/>
      <c r="C24" s="71"/>
      <c r="D24" s="74"/>
      <c r="E24" s="70"/>
      <c r="F24" s="76"/>
      <c r="G24" s="76"/>
      <c r="H24" s="72">
        <f t="shared" si="2"/>
        <v>0</v>
      </c>
      <c r="I24" s="85">
        <f t="shared" si="3"/>
        <v>0</v>
      </c>
    </row>
    <row r="25" spans="1:9" s="4" customFormat="1" ht="18" customHeight="1">
      <c r="A25" s="120"/>
      <c r="B25" s="160"/>
      <c r="C25" s="71"/>
      <c r="D25" s="77"/>
      <c r="E25" s="70"/>
      <c r="F25" s="76"/>
      <c r="G25" s="76"/>
      <c r="H25" s="72">
        <f t="shared" si="2"/>
        <v>0</v>
      </c>
      <c r="I25" s="85">
        <f t="shared" si="3"/>
        <v>0</v>
      </c>
    </row>
    <row r="26" spans="1:9" s="4" customFormat="1" ht="18" customHeight="1">
      <c r="A26" s="120"/>
      <c r="B26" s="160"/>
      <c r="C26" s="71"/>
      <c r="D26" s="77"/>
      <c r="E26" s="70"/>
      <c r="F26" s="71"/>
      <c r="G26" s="71"/>
      <c r="H26" s="72">
        <f t="shared" si="2"/>
        <v>0</v>
      </c>
      <c r="I26" s="85">
        <f t="shared" si="3"/>
        <v>0</v>
      </c>
    </row>
    <row r="27" spans="1:9" s="4" customFormat="1" ht="18" customHeight="1">
      <c r="A27" s="120"/>
      <c r="B27" s="160"/>
      <c r="C27" s="71"/>
      <c r="D27" s="69"/>
      <c r="E27" s="70"/>
      <c r="F27" s="71"/>
      <c r="G27" s="71"/>
      <c r="H27" s="72">
        <f t="shared" si="2"/>
        <v>0</v>
      </c>
      <c r="I27" s="85">
        <f t="shared" si="3"/>
        <v>0</v>
      </c>
    </row>
    <row r="28" spans="1:9" ht="24" customHeight="1" thickBot="1">
      <c r="A28" s="1"/>
      <c r="B28" s="2"/>
      <c r="C28" s="3"/>
      <c r="D28" s="177">
        <f>SUM(D4:D27)</f>
        <v>546</v>
      </c>
      <c r="E28" s="3"/>
      <c r="F28" s="2"/>
      <c r="G28" s="178">
        <f>SUM(G4:G27)</f>
        <v>39</v>
      </c>
      <c r="H28" s="178">
        <f>SUM(H4:H27)</f>
        <v>7160000</v>
      </c>
      <c r="I28" s="86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4330708661417323" right="0.4330708661417323" top="0.5511811023622047" bottom="0.5511811023622047" header="0.31496062992125984" footer="0.31496062992125984"/>
  <pageSetup fitToHeight="1" fitToWidth="1" orientation="landscape" paperSize="9" scale="9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4" customFormat="1" ht="43.5" customHeight="1">
      <c r="B1" s="374" t="s">
        <v>85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2:14" s="4" customFormat="1" ht="29.25" customHeight="1">
      <c r="B2" s="375" t="s">
        <v>285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52</v>
      </c>
      <c r="F3" s="63" t="s">
        <v>6</v>
      </c>
      <c r="G3" s="64" t="s">
        <v>5</v>
      </c>
      <c r="H3" s="65" t="s">
        <v>51</v>
      </c>
      <c r="I3" s="66"/>
      <c r="J3" s="138" t="s">
        <v>6</v>
      </c>
      <c r="K3" s="134"/>
      <c r="L3" s="135"/>
      <c r="M3" s="136" t="s">
        <v>5</v>
      </c>
      <c r="N3" s="137" t="s">
        <v>4</v>
      </c>
    </row>
    <row r="4" spans="1:14" s="73" customFormat="1" ht="18" customHeight="1">
      <c r="A4" s="120" t="s">
        <v>58</v>
      </c>
      <c r="B4" s="160">
        <v>7.2</v>
      </c>
      <c r="C4" s="71">
        <v>38</v>
      </c>
      <c r="D4" s="69">
        <v>28</v>
      </c>
      <c r="E4" s="70"/>
      <c r="F4" s="71">
        <v>1</v>
      </c>
      <c r="G4" s="68">
        <v>10</v>
      </c>
      <c r="H4" s="72">
        <f aca="true" t="shared" si="0" ref="H4:H11">N4+I4</f>
        <v>1550000</v>
      </c>
      <c r="I4" s="85">
        <f aca="true" t="shared" si="1" ref="I4:I11">IF(E4&gt;0,$N$13,0)+IF(C4&gt;0,50000,0)+IF(C12&lt;0,50000,0)</f>
        <v>50000</v>
      </c>
      <c r="J4" s="87" t="s">
        <v>8</v>
      </c>
      <c r="K4" s="88"/>
      <c r="L4" s="89"/>
      <c r="M4" s="78">
        <v>10</v>
      </c>
      <c r="N4" s="72">
        <f>N12*25%</f>
        <v>1500000</v>
      </c>
    </row>
    <row r="5" spans="1:14" s="73" customFormat="1" ht="18" customHeight="1">
      <c r="A5" s="120" t="s">
        <v>110</v>
      </c>
      <c r="B5" s="160">
        <v>16</v>
      </c>
      <c r="C5" s="71">
        <v>35</v>
      </c>
      <c r="D5" s="77">
        <v>33</v>
      </c>
      <c r="E5" s="70"/>
      <c r="F5" s="71">
        <v>2</v>
      </c>
      <c r="G5" s="71">
        <v>8</v>
      </c>
      <c r="H5" s="72">
        <f t="shared" si="0"/>
        <v>1250000</v>
      </c>
      <c r="I5" s="85">
        <f t="shared" si="1"/>
        <v>50000</v>
      </c>
      <c r="J5" s="90" t="s">
        <v>9</v>
      </c>
      <c r="K5" s="91"/>
      <c r="L5" s="92"/>
      <c r="M5" s="75">
        <v>8</v>
      </c>
      <c r="N5" s="72">
        <f>N12*20%</f>
        <v>1200000</v>
      </c>
    </row>
    <row r="6" spans="1:14" s="73" customFormat="1" ht="18" customHeight="1">
      <c r="A6" s="120" t="s">
        <v>65</v>
      </c>
      <c r="B6" s="160">
        <v>10.6</v>
      </c>
      <c r="C6" s="74">
        <v>34</v>
      </c>
      <c r="D6" s="69">
        <v>30</v>
      </c>
      <c r="E6" s="70"/>
      <c r="F6" s="71">
        <v>3</v>
      </c>
      <c r="G6" s="76">
        <v>6</v>
      </c>
      <c r="H6" s="72">
        <f t="shared" si="0"/>
        <v>950000</v>
      </c>
      <c r="I6" s="85">
        <f t="shared" si="1"/>
        <v>50000</v>
      </c>
      <c r="J6" s="90" t="s">
        <v>10</v>
      </c>
      <c r="K6" s="91"/>
      <c r="L6" s="92"/>
      <c r="M6" s="75">
        <v>6</v>
      </c>
      <c r="N6" s="72">
        <f>N12*15%</f>
        <v>900000</v>
      </c>
    </row>
    <row r="7" spans="1:18" s="73" customFormat="1" ht="18" customHeight="1">
      <c r="A7" s="120" t="s">
        <v>109</v>
      </c>
      <c r="B7" s="160">
        <v>15.8</v>
      </c>
      <c r="C7" s="68">
        <v>33</v>
      </c>
      <c r="D7" s="77">
        <v>28</v>
      </c>
      <c r="E7" s="70"/>
      <c r="F7" s="71">
        <v>4</v>
      </c>
      <c r="G7" s="71">
        <v>5</v>
      </c>
      <c r="H7" s="72">
        <f t="shared" si="0"/>
        <v>770000</v>
      </c>
      <c r="I7" s="85">
        <f t="shared" si="1"/>
        <v>50000</v>
      </c>
      <c r="J7" s="90" t="s">
        <v>11</v>
      </c>
      <c r="K7" s="91"/>
      <c r="L7" s="92"/>
      <c r="M7" s="75">
        <v>5</v>
      </c>
      <c r="N7" s="72">
        <f>N12*12%</f>
        <v>720000</v>
      </c>
      <c r="O7" s="79"/>
      <c r="P7" s="79"/>
      <c r="Q7" s="79"/>
      <c r="R7" s="80"/>
    </row>
    <row r="8" spans="1:14" s="73" customFormat="1" ht="18" customHeight="1">
      <c r="A8" s="120" t="s">
        <v>70</v>
      </c>
      <c r="B8" s="160">
        <v>16.9</v>
      </c>
      <c r="C8" s="71">
        <v>33</v>
      </c>
      <c r="D8" s="69">
        <v>36</v>
      </c>
      <c r="E8" s="174"/>
      <c r="F8" s="71">
        <v>5</v>
      </c>
      <c r="G8" s="71">
        <v>4</v>
      </c>
      <c r="H8" s="72">
        <f t="shared" si="0"/>
        <v>650000</v>
      </c>
      <c r="I8" s="85">
        <f t="shared" si="1"/>
        <v>50000</v>
      </c>
      <c r="J8" s="90" t="s">
        <v>12</v>
      </c>
      <c r="K8" s="91"/>
      <c r="L8" s="92"/>
      <c r="M8" s="75">
        <v>4</v>
      </c>
      <c r="N8" s="72">
        <f>N12*10%</f>
        <v>600000</v>
      </c>
    </row>
    <row r="9" spans="1:14" s="73" customFormat="1" ht="18" customHeight="1">
      <c r="A9" s="120" t="s">
        <v>111</v>
      </c>
      <c r="B9" s="160">
        <v>13.7</v>
      </c>
      <c r="C9" s="71">
        <v>30</v>
      </c>
      <c r="D9" s="69">
        <v>36</v>
      </c>
      <c r="E9" s="174">
        <v>11.24</v>
      </c>
      <c r="F9" s="71">
        <v>6</v>
      </c>
      <c r="G9" s="71">
        <v>3</v>
      </c>
      <c r="H9" s="72">
        <f t="shared" si="0"/>
        <v>890000</v>
      </c>
      <c r="I9" s="85">
        <f t="shared" si="1"/>
        <v>410000</v>
      </c>
      <c r="J9" s="90" t="s">
        <v>13</v>
      </c>
      <c r="K9" s="91"/>
      <c r="L9" s="92"/>
      <c r="M9" s="75">
        <v>3</v>
      </c>
      <c r="N9" s="72">
        <f>N12*8%</f>
        <v>480000</v>
      </c>
    </row>
    <row r="10" spans="1:14" s="73" customFormat="1" ht="18" customHeight="1">
      <c r="A10" s="120" t="s">
        <v>78</v>
      </c>
      <c r="B10" s="160">
        <v>13.5</v>
      </c>
      <c r="C10" s="74">
        <v>30</v>
      </c>
      <c r="D10" s="69">
        <v>39</v>
      </c>
      <c r="E10" s="174"/>
      <c r="F10" s="71">
        <v>7</v>
      </c>
      <c r="G10" s="71">
        <v>2</v>
      </c>
      <c r="H10" s="72">
        <f t="shared" si="0"/>
        <v>410000</v>
      </c>
      <c r="I10" s="85">
        <f t="shared" si="1"/>
        <v>50000</v>
      </c>
      <c r="J10" s="90" t="s">
        <v>14</v>
      </c>
      <c r="K10" s="91"/>
      <c r="L10" s="92"/>
      <c r="M10" s="75">
        <v>2</v>
      </c>
      <c r="N10" s="72">
        <f>N12*6%</f>
        <v>360000</v>
      </c>
    </row>
    <row r="11" spans="1:14" s="73" customFormat="1" ht="18" customHeight="1">
      <c r="A11" s="120" t="s">
        <v>59</v>
      </c>
      <c r="B11" s="160">
        <v>18</v>
      </c>
      <c r="C11" s="74">
        <v>30</v>
      </c>
      <c r="D11" s="77">
        <v>38</v>
      </c>
      <c r="E11" s="174"/>
      <c r="F11" s="71">
        <v>8</v>
      </c>
      <c r="G11" s="81">
        <v>1</v>
      </c>
      <c r="H11" s="72">
        <f t="shared" si="0"/>
        <v>290000</v>
      </c>
      <c r="I11" s="85">
        <f t="shared" si="1"/>
        <v>50000</v>
      </c>
      <c r="J11" s="90" t="s">
        <v>15</v>
      </c>
      <c r="K11" s="91"/>
      <c r="L11" s="92"/>
      <c r="M11" s="75">
        <v>1</v>
      </c>
      <c r="N11" s="72">
        <f>N12*4%</f>
        <v>240000</v>
      </c>
    </row>
    <row r="12" spans="1:14" s="73" customFormat="1" ht="18" customHeight="1">
      <c r="A12" s="120" t="s">
        <v>326</v>
      </c>
      <c r="B12" s="160">
        <v>14.9</v>
      </c>
      <c r="C12" s="71">
        <v>29</v>
      </c>
      <c r="D12" s="74">
        <v>34</v>
      </c>
      <c r="E12" s="70"/>
      <c r="F12" s="68"/>
      <c r="G12" s="71"/>
      <c r="H12" s="72">
        <f aca="true" t="shared" si="2" ref="H12:H27">I12</f>
        <v>50000</v>
      </c>
      <c r="I12" s="85">
        <f aca="true" t="shared" si="3" ref="I12:I27">IF(E12&gt;0,$N$13,0)+IF(C12&gt;0,50000,0)+IF(C12&lt;0,50000,0)</f>
        <v>50000</v>
      </c>
      <c r="J12" s="93" t="s">
        <v>3</v>
      </c>
      <c r="K12" s="91"/>
      <c r="L12" s="92"/>
      <c r="M12" s="75"/>
      <c r="N12" s="82">
        <v>6000000</v>
      </c>
    </row>
    <row r="13" spans="1:14" s="73" customFormat="1" ht="18" customHeight="1">
      <c r="A13" s="120" t="s">
        <v>75</v>
      </c>
      <c r="B13" s="160">
        <v>16</v>
      </c>
      <c r="C13" s="77">
        <v>29</v>
      </c>
      <c r="D13" s="69">
        <v>34</v>
      </c>
      <c r="E13" s="174"/>
      <c r="F13" s="71"/>
      <c r="G13" s="71"/>
      <c r="H13" s="72">
        <f t="shared" si="2"/>
        <v>50000</v>
      </c>
      <c r="I13" s="85">
        <f t="shared" si="3"/>
        <v>50000</v>
      </c>
      <c r="J13" s="122" t="s">
        <v>62</v>
      </c>
      <c r="K13" s="123"/>
      <c r="L13" s="124"/>
      <c r="M13" s="125">
        <v>1</v>
      </c>
      <c r="N13" s="126">
        <f>N10</f>
        <v>360000</v>
      </c>
    </row>
    <row r="14" spans="1:14" s="73" customFormat="1" ht="18" customHeight="1">
      <c r="A14" s="120" t="s">
        <v>66</v>
      </c>
      <c r="B14" s="160">
        <v>24.2</v>
      </c>
      <c r="C14" s="71">
        <v>29</v>
      </c>
      <c r="D14" s="77">
        <v>39</v>
      </c>
      <c r="E14" s="70"/>
      <c r="F14" s="71"/>
      <c r="G14" s="71"/>
      <c r="H14" s="72">
        <f t="shared" si="2"/>
        <v>50000</v>
      </c>
      <c r="I14" s="85">
        <f t="shared" si="3"/>
        <v>50000</v>
      </c>
      <c r="J14" s="131"/>
      <c r="K14" s="123"/>
      <c r="L14" s="123"/>
      <c r="M14" s="132"/>
      <c r="N14" s="133"/>
    </row>
    <row r="15" spans="1:14" s="73" customFormat="1" ht="18" customHeight="1">
      <c r="A15" s="120" t="s">
        <v>60</v>
      </c>
      <c r="B15" s="160">
        <v>7.8</v>
      </c>
      <c r="C15" s="71">
        <v>28</v>
      </c>
      <c r="D15" s="69">
        <v>36</v>
      </c>
      <c r="E15" s="70"/>
      <c r="F15" s="71"/>
      <c r="G15" s="71"/>
      <c r="H15" s="72">
        <f t="shared" si="2"/>
        <v>50000</v>
      </c>
      <c r="I15" s="85">
        <f t="shared" si="3"/>
        <v>50000</v>
      </c>
      <c r="J15" s="127"/>
      <c r="K15" s="128"/>
      <c r="L15" s="128"/>
      <c r="M15" s="129"/>
      <c r="N15" s="130"/>
    </row>
    <row r="16" spans="1:9" s="73" customFormat="1" ht="18" customHeight="1">
      <c r="A16" s="120" t="s">
        <v>71</v>
      </c>
      <c r="B16" s="160">
        <v>6.5</v>
      </c>
      <c r="C16" s="74">
        <v>27</v>
      </c>
      <c r="D16" s="69">
        <v>38</v>
      </c>
      <c r="E16" s="70"/>
      <c r="F16" s="76"/>
      <c r="G16" s="76"/>
      <c r="H16" s="72">
        <f t="shared" si="2"/>
        <v>50000</v>
      </c>
      <c r="I16" s="85">
        <f t="shared" si="3"/>
        <v>50000</v>
      </c>
    </row>
    <row r="17" spans="1:13" s="73" customFormat="1" ht="18" customHeight="1">
      <c r="A17" s="120" t="s">
        <v>118</v>
      </c>
      <c r="B17" s="160">
        <v>22</v>
      </c>
      <c r="C17" s="71">
        <v>27</v>
      </c>
      <c r="D17" s="69">
        <v>38</v>
      </c>
      <c r="E17" s="70"/>
      <c r="F17" s="76"/>
      <c r="G17" s="76"/>
      <c r="H17" s="72">
        <f t="shared" si="2"/>
        <v>50000</v>
      </c>
      <c r="I17" s="85">
        <f t="shared" si="3"/>
        <v>50000</v>
      </c>
      <c r="J17" s="79"/>
      <c r="K17" s="79"/>
      <c r="L17" s="79"/>
      <c r="M17" s="80"/>
    </row>
    <row r="18" spans="1:13" s="73" customFormat="1" ht="18" customHeight="1">
      <c r="A18" s="120" t="s">
        <v>76</v>
      </c>
      <c r="B18" s="160">
        <v>13.2</v>
      </c>
      <c r="C18" s="76">
        <v>25</v>
      </c>
      <c r="D18" s="77">
        <v>37</v>
      </c>
      <c r="E18" s="70"/>
      <c r="F18" s="71"/>
      <c r="G18" s="71"/>
      <c r="H18" s="72">
        <f t="shared" si="2"/>
        <v>50000</v>
      </c>
      <c r="I18" s="85">
        <f t="shared" si="3"/>
        <v>50000</v>
      </c>
      <c r="J18" s="80"/>
      <c r="K18" s="80"/>
      <c r="L18" s="80"/>
      <c r="M18" s="80"/>
    </row>
    <row r="19" spans="1:13" s="73" customFormat="1" ht="18" customHeight="1">
      <c r="A19" s="120" t="s">
        <v>115</v>
      </c>
      <c r="B19" s="160">
        <v>14.2</v>
      </c>
      <c r="C19" s="71">
        <v>24</v>
      </c>
      <c r="D19" s="77">
        <v>37</v>
      </c>
      <c r="E19" s="70"/>
      <c r="F19" s="71"/>
      <c r="G19" s="71"/>
      <c r="H19" s="72">
        <f t="shared" si="2"/>
        <v>50000</v>
      </c>
      <c r="I19" s="85">
        <f t="shared" si="3"/>
        <v>50000</v>
      </c>
      <c r="J19" s="80"/>
      <c r="K19" s="80"/>
      <c r="L19" s="80"/>
      <c r="M19" s="80"/>
    </row>
    <row r="20" spans="1:9" s="4" customFormat="1" ht="18" customHeight="1">
      <c r="A20" s="120" t="s">
        <v>72</v>
      </c>
      <c r="B20" s="160">
        <v>17.4</v>
      </c>
      <c r="C20" s="71">
        <v>24</v>
      </c>
      <c r="D20" s="77">
        <v>38</v>
      </c>
      <c r="E20" s="70"/>
      <c r="F20" s="76"/>
      <c r="G20" s="76"/>
      <c r="H20" s="72">
        <f t="shared" si="2"/>
        <v>50000</v>
      </c>
      <c r="I20" s="85">
        <f t="shared" si="3"/>
        <v>50000</v>
      </c>
    </row>
    <row r="21" spans="1:9" s="4" customFormat="1" ht="18" customHeight="1">
      <c r="A21" s="120" t="s">
        <v>77</v>
      </c>
      <c r="B21" s="160">
        <v>22.8</v>
      </c>
      <c r="C21" s="76">
        <v>21</v>
      </c>
      <c r="D21" s="69">
        <v>39</v>
      </c>
      <c r="E21" s="70"/>
      <c r="F21" s="76"/>
      <c r="G21" s="76"/>
      <c r="H21" s="72">
        <f t="shared" si="2"/>
        <v>50000</v>
      </c>
      <c r="I21" s="85">
        <f t="shared" si="3"/>
        <v>50000</v>
      </c>
    </row>
    <row r="22" spans="1:9" s="4" customFormat="1" ht="18" customHeight="1">
      <c r="A22" s="120"/>
      <c r="B22" s="160"/>
      <c r="C22" s="71"/>
      <c r="D22" s="69"/>
      <c r="E22" s="70"/>
      <c r="F22" s="76"/>
      <c r="G22" s="76"/>
      <c r="H22" s="72">
        <f t="shared" si="2"/>
        <v>0</v>
      </c>
      <c r="I22" s="85">
        <f t="shared" si="3"/>
        <v>0</v>
      </c>
    </row>
    <row r="23" spans="1:9" s="4" customFormat="1" ht="18" customHeight="1">
      <c r="A23" s="120"/>
      <c r="B23" s="160"/>
      <c r="C23" s="74"/>
      <c r="D23" s="69"/>
      <c r="E23" s="174"/>
      <c r="F23" s="76"/>
      <c r="G23" s="76"/>
      <c r="H23" s="72">
        <f t="shared" si="2"/>
        <v>0</v>
      </c>
      <c r="I23" s="85">
        <f t="shared" si="3"/>
        <v>0</v>
      </c>
    </row>
    <row r="24" spans="1:9" s="4" customFormat="1" ht="18" customHeight="1">
      <c r="A24" s="120"/>
      <c r="B24" s="160"/>
      <c r="C24" s="71"/>
      <c r="D24" s="69"/>
      <c r="E24" s="70"/>
      <c r="F24" s="76"/>
      <c r="G24" s="76"/>
      <c r="H24" s="72">
        <f t="shared" si="2"/>
        <v>0</v>
      </c>
      <c r="I24" s="85">
        <f t="shared" si="3"/>
        <v>0</v>
      </c>
    </row>
    <row r="25" spans="1:9" s="4" customFormat="1" ht="18" customHeight="1">
      <c r="A25" s="120"/>
      <c r="B25" s="160"/>
      <c r="C25" s="71"/>
      <c r="D25" s="69"/>
      <c r="E25" s="174"/>
      <c r="F25" s="76"/>
      <c r="G25" s="76"/>
      <c r="H25" s="72">
        <f t="shared" si="2"/>
        <v>0</v>
      </c>
      <c r="I25" s="85">
        <f t="shared" si="3"/>
        <v>0</v>
      </c>
    </row>
    <row r="26" spans="1:9" s="4" customFormat="1" ht="18" customHeight="1">
      <c r="A26" s="120"/>
      <c r="B26" s="160"/>
      <c r="C26" s="74"/>
      <c r="D26" s="77"/>
      <c r="E26" s="174"/>
      <c r="F26" s="71"/>
      <c r="G26" s="71"/>
      <c r="H26" s="72">
        <f t="shared" si="2"/>
        <v>0</v>
      </c>
      <c r="I26" s="85">
        <f t="shared" si="3"/>
        <v>0</v>
      </c>
    </row>
    <row r="27" spans="1:9" s="4" customFormat="1" ht="18" customHeight="1">
      <c r="A27" s="120"/>
      <c r="B27" s="160"/>
      <c r="C27" s="71"/>
      <c r="D27" s="69"/>
      <c r="E27" s="70"/>
      <c r="F27" s="71"/>
      <c r="G27" s="71"/>
      <c r="H27" s="72">
        <f t="shared" si="2"/>
        <v>0</v>
      </c>
      <c r="I27" s="85">
        <f t="shared" si="3"/>
        <v>0</v>
      </c>
    </row>
    <row r="28" spans="1:9" ht="24" customHeight="1" thickBot="1">
      <c r="A28" s="1"/>
      <c r="B28" s="2"/>
      <c r="C28" s="3"/>
      <c r="D28" s="177">
        <f>SUM(D4:D27)</f>
        <v>638</v>
      </c>
      <c r="E28" s="3"/>
      <c r="F28" s="2"/>
      <c r="G28" s="178">
        <f>SUM(G4:G27)</f>
        <v>39</v>
      </c>
      <c r="H28" s="178">
        <f>SUM(H4:H27)</f>
        <v>7260000</v>
      </c>
      <c r="I28" s="86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4330708661417323" right="0.4330708661417323" top="0.5511811023622047" bottom="0.5511811023622047" header="0.31496062992125984" footer="0.31496062992125984"/>
  <pageSetup fitToHeight="1" fitToWidth="1" orientation="landscape" paperSize="9" scale="88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4" customFormat="1" ht="43.5" customHeight="1">
      <c r="B1" s="374" t="s">
        <v>191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2:14" s="4" customFormat="1" ht="29.25" customHeight="1">
      <c r="B2" s="375" t="s">
        <v>282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52</v>
      </c>
      <c r="F3" s="63" t="s">
        <v>6</v>
      </c>
      <c r="G3" s="64" t="s">
        <v>5</v>
      </c>
      <c r="H3" s="65" t="s">
        <v>51</v>
      </c>
      <c r="I3" s="66"/>
      <c r="J3" s="138" t="s">
        <v>6</v>
      </c>
      <c r="K3" s="134"/>
      <c r="L3" s="135"/>
      <c r="M3" s="136" t="s">
        <v>5</v>
      </c>
      <c r="N3" s="137" t="s">
        <v>4</v>
      </c>
    </row>
    <row r="4" spans="1:14" s="73" customFormat="1" ht="18" customHeight="1">
      <c r="A4" s="120" t="s">
        <v>58</v>
      </c>
      <c r="B4" s="160">
        <v>7.2</v>
      </c>
      <c r="C4" s="71">
        <v>36</v>
      </c>
      <c r="D4" s="69">
        <v>32</v>
      </c>
      <c r="E4" s="70"/>
      <c r="F4" s="71">
        <v>1</v>
      </c>
      <c r="G4" s="68">
        <v>10</v>
      </c>
      <c r="H4" s="72">
        <f>N4+I4</f>
        <v>1550000</v>
      </c>
      <c r="I4" s="85">
        <f>IF(E4&gt;0,$N$13,0)+IF(C4&gt;0,50000,0)+IF(C12&lt;0,50000,0)</f>
        <v>50000</v>
      </c>
      <c r="J4" s="87" t="s">
        <v>8</v>
      </c>
      <c r="K4" s="88"/>
      <c r="L4" s="89"/>
      <c r="M4" s="78">
        <v>10</v>
      </c>
      <c r="N4" s="72">
        <f>N12*25%</f>
        <v>1500000</v>
      </c>
    </row>
    <row r="5" spans="1:14" s="73" customFormat="1" ht="18" customHeight="1">
      <c r="A5" s="120" t="s">
        <v>73</v>
      </c>
      <c r="B5" s="160">
        <v>14.8</v>
      </c>
      <c r="C5" s="71">
        <v>35</v>
      </c>
      <c r="D5" s="74">
        <v>31</v>
      </c>
      <c r="E5" s="70"/>
      <c r="F5" s="71">
        <v>2</v>
      </c>
      <c r="G5" s="71">
        <v>8</v>
      </c>
      <c r="H5" s="72">
        <f aca="true" t="shared" si="0" ref="H5:H11">N5+I5</f>
        <v>1250000</v>
      </c>
      <c r="I5" s="85">
        <f aca="true" t="shared" si="1" ref="I5:I11">IF(E5&gt;0,$N$13,0)+IF(C5&gt;0,50000,0)+IF(C13&lt;0,50000,0)</f>
        <v>50000</v>
      </c>
      <c r="J5" s="90" t="s">
        <v>9</v>
      </c>
      <c r="K5" s="91"/>
      <c r="L5" s="92"/>
      <c r="M5" s="75">
        <v>8</v>
      </c>
      <c r="N5" s="72">
        <f>N12*20%</f>
        <v>1200000</v>
      </c>
    </row>
    <row r="6" spans="1:14" s="73" customFormat="1" ht="18" customHeight="1">
      <c r="A6" s="120" t="s">
        <v>119</v>
      </c>
      <c r="B6" s="160">
        <v>11.7</v>
      </c>
      <c r="C6" s="71">
        <v>31</v>
      </c>
      <c r="D6" s="77">
        <v>31</v>
      </c>
      <c r="E6" s="174">
        <v>14.25</v>
      </c>
      <c r="F6" s="76">
        <v>3</v>
      </c>
      <c r="G6" s="76">
        <v>6</v>
      </c>
      <c r="H6" s="72">
        <f t="shared" si="0"/>
        <v>1310000</v>
      </c>
      <c r="I6" s="85">
        <f t="shared" si="1"/>
        <v>410000</v>
      </c>
      <c r="J6" s="90" t="s">
        <v>10</v>
      </c>
      <c r="K6" s="91"/>
      <c r="L6" s="92"/>
      <c r="M6" s="75">
        <v>6</v>
      </c>
      <c r="N6" s="72">
        <f>N12*15%</f>
        <v>900000</v>
      </c>
    </row>
    <row r="7" spans="1:18" s="73" customFormat="1" ht="18" customHeight="1">
      <c r="A7" s="120" t="s">
        <v>110</v>
      </c>
      <c r="B7" s="160">
        <v>15.9</v>
      </c>
      <c r="C7" s="76">
        <v>31</v>
      </c>
      <c r="D7" s="77">
        <v>31</v>
      </c>
      <c r="E7" s="70"/>
      <c r="F7" s="71">
        <v>4</v>
      </c>
      <c r="G7" s="71">
        <v>5</v>
      </c>
      <c r="H7" s="72">
        <f t="shared" si="0"/>
        <v>770000</v>
      </c>
      <c r="I7" s="85">
        <f t="shared" si="1"/>
        <v>50000</v>
      </c>
      <c r="J7" s="90" t="s">
        <v>11</v>
      </c>
      <c r="K7" s="91"/>
      <c r="L7" s="92"/>
      <c r="M7" s="75">
        <v>5</v>
      </c>
      <c r="N7" s="72">
        <f>N12*12%</f>
        <v>720000</v>
      </c>
      <c r="O7" s="79"/>
      <c r="P7" s="79"/>
      <c r="Q7" s="79"/>
      <c r="R7" s="80"/>
    </row>
    <row r="8" spans="1:14" s="73" customFormat="1" ht="18" customHeight="1">
      <c r="A8" s="120" t="s">
        <v>71</v>
      </c>
      <c r="B8" s="160">
        <v>6.5</v>
      </c>
      <c r="C8" s="77">
        <v>30</v>
      </c>
      <c r="D8" s="69">
        <v>32</v>
      </c>
      <c r="E8" s="174"/>
      <c r="F8" s="71">
        <v>5</v>
      </c>
      <c r="G8" s="71">
        <v>4</v>
      </c>
      <c r="H8" s="72">
        <f t="shared" si="0"/>
        <v>650000</v>
      </c>
      <c r="I8" s="85">
        <f t="shared" si="1"/>
        <v>50000</v>
      </c>
      <c r="J8" s="90" t="s">
        <v>12</v>
      </c>
      <c r="K8" s="91"/>
      <c r="L8" s="92"/>
      <c r="M8" s="75">
        <v>4</v>
      </c>
      <c r="N8" s="72">
        <f>N12*10%</f>
        <v>600000</v>
      </c>
    </row>
    <row r="9" spans="1:14" s="73" customFormat="1" ht="18" customHeight="1">
      <c r="A9" s="120" t="s">
        <v>59</v>
      </c>
      <c r="B9" s="160">
        <v>17.9</v>
      </c>
      <c r="C9" s="71">
        <v>30</v>
      </c>
      <c r="D9" s="77">
        <v>32</v>
      </c>
      <c r="E9" s="174"/>
      <c r="F9" s="81">
        <v>6</v>
      </c>
      <c r="G9" s="81">
        <v>3</v>
      </c>
      <c r="H9" s="72">
        <f t="shared" si="0"/>
        <v>530000</v>
      </c>
      <c r="I9" s="85">
        <f t="shared" si="1"/>
        <v>50000</v>
      </c>
      <c r="J9" s="90" t="s">
        <v>13</v>
      </c>
      <c r="K9" s="91"/>
      <c r="L9" s="92"/>
      <c r="M9" s="75">
        <v>3</v>
      </c>
      <c r="N9" s="72">
        <f>N12*8%</f>
        <v>480000</v>
      </c>
    </row>
    <row r="10" spans="1:14" s="73" customFormat="1" ht="18" customHeight="1">
      <c r="A10" s="120" t="s">
        <v>111</v>
      </c>
      <c r="B10" s="160">
        <v>13.6</v>
      </c>
      <c r="C10" s="71">
        <v>28</v>
      </c>
      <c r="D10" s="69">
        <v>33</v>
      </c>
      <c r="E10" s="174"/>
      <c r="F10" s="71">
        <v>7</v>
      </c>
      <c r="G10" s="71">
        <v>2</v>
      </c>
      <c r="H10" s="72">
        <f t="shared" si="0"/>
        <v>410000</v>
      </c>
      <c r="I10" s="85">
        <f t="shared" si="1"/>
        <v>50000</v>
      </c>
      <c r="J10" s="90" t="s">
        <v>14</v>
      </c>
      <c r="K10" s="91"/>
      <c r="L10" s="92"/>
      <c r="M10" s="75">
        <v>2</v>
      </c>
      <c r="N10" s="72">
        <f>N12*6%</f>
        <v>360000</v>
      </c>
    </row>
    <row r="11" spans="1:14" s="73" customFormat="1" ht="18" customHeight="1">
      <c r="A11" s="120" t="s">
        <v>115</v>
      </c>
      <c r="B11" s="160">
        <v>14.2</v>
      </c>
      <c r="C11" s="74">
        <v>27</v>
      </c>
      <c r="D11" s="69">
        <v>27</v>
      </c>
      <c r="E11" s="70"/>
      <c r="F11" s="71">
        <v>8</v>
      </c>
      <c r="G11" s="71">
        <v>1</v>
      </c>
      <c r="H11" s="72">
        <f t="shared" si="0"/>
        <v>290000</v>
      </c>
      <c r="I11" s="85">
        <f t="shared" si="1"/>
        <v>50000</v>
      </c>
      <c r="J11" s="90" t="s">
        <v>15</v>
      </c>
      <c r="K11" s="91"/>
      <c r="L11" s="92"/>
      <c r="M11" s="75">
        <v>1</v>
      </c>
      <c r="N11" s="72">
        <f>N12*4%</f>
        <v>240000</v>
      </c>
    </row>
    <row r="12" spans="1:14" s="73" customFormat="1" ht="18" customHeight="1">
      <c r="A12" s="120" t="s">
        <v>77</v>
      </c>
      <c r="B12" s="160">
        <v>22.8</v>
      </c>
      <c r="C12" s="71">
        <v>27</v>
      </c>
      <c r="D12" s="69">
        <v>37</v>
      </c>
      <c r="E12" s="174"/>
      <c r="F12" s="68"/>
      <c r="G12" s="71"/>
      <c r="H12" s="72">
        <f>I12</f>
        <v>50000</v>
      </c>
      <c r="I12" s="85">
        <f>IF(E12&gt;0,$N$13,0)+IF(C12&gt;0,50000,0)+IF(C12&lt;0,50000,0)</f>
        <v>50000</v>
      </c>
      <c r="J12" s="93" t="s">
        <v>3</v>
      </c>
      <c r="K12" s="91"/>
      <c r="L12" s="92"/>
      <c r="M12" s="75"/>
      <c r="N12" s="82">
        <v>6000000</v>
      </c>
    </row>
    <row r="13" spans="1:14" s="73" customFormat="1" ht="18" customHeight="1">
      <c r="A13" s="120" t="s">
        <v>109</v>
      </c>
      <c r="B13" s="160">
        <v>15.7</v>
      </c>
      <c r="C13" s="71">
        <v>26</v>
      </c>
      <c r="D13" s="69">
        <v>36</v>
      </c>
      <c r="E13" s="70"/>
      <c r="F13" s="71"/>
      <c r="G13" s="71"/>
      <c r="H13" s="72">
        <f aca="true" t="shared" si="2" ref="H13:H27">I13</f>
        <v>50000</v>
      </c>
      <c r="I13" s="85">
        <f aca="true" t="shared" si="3" ref="I13:I27">IF(E13&gt;0,$N$13,0)+IF(C13&gt;0,50000,0)+IF(C13&lt;0,50000,0)</f>
        <v>50000</v>
      </c>
      <c r="J13" s="122" t="s">
        <v>62</v>
      </c>
      <c r="K13" s="123"/>
      <c r="L13" s="124"/>
      <c r="M13" s="125">
        <v>1</v>
      </c>
      <c r="N13" s="126">
        <f>N10</f>
        <v>360000</v>
      </c>
    </row>
    <row r="14" spans="1:14" s="73" customFormat="1" ht="18" customHeight="1">
      <c r="A14" s="120" t="s">
        <v>70</v>
      </c>
      <c r="B14" s="160">
        <v>16.8</v>
      </c>
      <c r="C14" s="76">
        <v>26</v>
      </c>
      <c r="D14" s="69">
        <v>34</v>
      </c>
      <c r="E14" s="70"/>
      <c r="F14" s="71"/>
      <c r="G14" s="71"/>
      <c r="H14" s="72">
        <f t="shared" si="2"/>
        <v>50000</v>
      </c>
      <c r="I14" s="85">
        <f t="shared" si="3"/>
        <v>50000</v>
      </c>
      <c r="J14" s="131"/>
      <c r="K14" s="123"/>
      <c r="L14" s="123"/>
      <c r="M14" s="132"/>
      <c r="N14" s="133"/>
    </row>
    <row r="15" spans="1:14" s="73" customFormat="1" ht="18" customHeight="1">
      <c r="A15" s="120" t="s">
        <v>61</v>
      </c>
      <c r="B15" s="160">
        <v>21.9</v>
      </c>
      <c r="C15" s="71">
        <v>26</v>
      </c>
      <c r="D15" s="77">
        <v>33</v>
      </c>
      <c r="E15" s="70"/>
      <c r="F15" s="71"/>
      <c r="G15" s="71"/>
      <c r="H15" s="72">
        <f t="shared" si="2"/>
        <v>50000</v>
      </c>
      <c r="I15" s="85">
        <f t="shared" si="3"/>
        <v>50000</v>
      </c>
      <c r="J15" s="127"/>
      <c r="K15" s="128"/>
      <c r="L15" s="128"/>
      <c r="M15" s="129"/>
      <c r="N15" s="130"/>
    </row>
    <row r="16" spans="1:9" s="73" customFormat="1" ht="18" customHeight="1">
      <c r="A16" s="120" t="s">
        <v>76</v>
      </c>
      <c r="B16" s="160">
        <v>13.2</v>
      </c>
      <c r="C16" s="71">
        <v>25</v>
      </c>
      <c r="D16" s="69">
        <v>38</v>
      </c>
      <c r="E16" s="70"/>
      <c r="F16" s="76"/>
      <c r="G16" s="76"/>
      <c r="H16" s="72">
        <f t="shared" si="2"/>
        <v>50000</v>
      </c>
      <c r="I16" s="85">
        <f t="shared" si="3"/>
        <v>50000</v>
      </c>
    </row>
    <row r="17" spans="1:13" s="73" customFormat="1" ht="18" customHeight="1">
      <c r="A17" s="120" t="s">
        <v>65</v>
      </c>
      <c r="B17" s="160">
        <v>10.6</v>
      </c>
      <c r="C17" s="71">
        <v>22</v>
      </c>
      <c r="D17" s="69">
        <v>37</v>
      </c>
      <c r="E17" s="70"/>
      <c r="F17" s="76"/>
      <c r="G17" s="76"/>
      <c r="H17" s="72">
        <f t="shared" si="2"/>
        <v>50000</v>
      </c>
      <c r="I17" s="85">
        <f t="shared" si="3"/>
        <v>50000</v>
      </c>
      <c r="J17" s="79"/>
      <c r="K17" s="79"/>
      <c r="L17" s="79"/>
      <c r="M17" s="80"/>
    </row>
    <row r="18" spans="1:13" s="73" customFormat="1" ht="18" customHeight="1">
      <c r="A18" s="120" t="s">
        <v>72</v>
      </c>
      <c r="B18" s="160">
        <v>17.4</v>
      </c>
      <c r="C18" s="68">
        <v>21</v>
      </c>
      <c r="D18" s="77">
        <v>39</v>
      </c>
      <c r="E18" s="70"/>
      <c r="F18" s="71"/>
      <c r="G18" s="71"/>
      <c r="H18" s="72">
        <f t="shared" si="2"/>
        <v>50000</v>
      </c>
      <c r="I18" s="85">
        <f t="shared" si="3"/>
        <v>50000</v>
      </c>
      <c r="J18" s="80"/>
      <c r="K18" s="80"/>
      <c r="L18" s="80"/>
      <c r="M18" s="80"/>
    </row>
    <row r="19" spans="1:13" s="73" customFormat="1" ht="18" customHeight="1">
      <c r="A19" s="120" t="s">
        <v>66</v>
      </c>
      <c r="B19" s="160">
        <v>24.2</v>
      </c>
      <c r="C19" s="71">
        <v>21</v>
      </c>
      <c r="D19" s="69">
        <v>37</v>
      </c>
      <c r="E19" s="70"/>
      <c r="F19" s="71"/>
      <c r="G19" s="71"/>
      <c r="H19" s="72">
        <f t="shared" si="2"/>
        <v>50000</v>
      </c>
      <c r="I19" s="85">
        <f t="shared" si="3"/>
        <v>50000</v>
      </c>
      <c r="J19" s="80"/>
      <c r="K19" s="80"/>
      <c r="L19" s="80"/>
      <c r="M19" s="80"/>
    </row>
    <row r="20" spans="1:9" s="4" customFormat="1" ht="18" customHeight="1">
      <c r="A20" s="120" t="s">
        <v>78</v>
      </c>
      <c r="B20" s="160">
        <v>13.5</v>
      </c>
      <c r="C20" s="74">
        <v>20</v>
      </c>
      <c r="D20" s="69">
        <v>40</v>
      </c>
      <c r="E20" s="70"/>
      <c r="F20" s="76"/>
      <c r="G20" s="76"/>
      <c r="H20" s="72">
        <f t="shared" si="2"/>
        <v>50000</v>
      </c>
      <c r="I20" s="85">
        <f t="shared" si="3"/>
        <v>50000</v>
      </c>
    </row>
    <row r="21" spans="1:9" s="4" customFormat="1" ht="18" customHeight="1">
      <c r="A21" s="120" t="s">
        <v>75</v>
      </c>
      <c r="B21" s="160">
        <v>15.9</v>
      </c>
      <c r="C21" s="74">
        <v>17</v>
      </c>
      <c r="D21" s="77">
        <v>41</v>
      </c>
      <c r="E21" s="70"/>
      <c r="F21" s="76"/>
      <c r="G21" s="76"/>
      <c r="H21" s="72">
        <f t="shared" si="2"/>
        <v>50000</v>
      </c>
      <c r="I21" s="85">
        <f t="shared" si="3"/>
        <v>50000</v>
      </c>
    </row>
    <row r="22" spans="1:9" s="4" customFormat="1" ht="18" customHeight="1">
      <c r="A22" s="120" t="s">
        <v>74</v>
      </c>
      <c r="B22" s="160">
        <v>17.2</v>
      </c>
      <c r="C22" s="71">
        <v>17</v>
      </c>
      <c r="D22" s="69">
        <v>43</v>
      </c>
      <c r="E22" s="70"/>
      <c r="F22" s="76"/>
      <c r="G22" s="76"/>
      <c r="H22" s="72">
        <f t="shared" si="2"/>
        <v>50000</v>
      </c>
      <c r="I22" s="85">
        <f t="shared" si="3"/>
        <v>50000</v>
      </c>
    </row>
    <row r="23" spans="1:9" s="4" customFormat="1" ht="18" customHeight="1">
      <c r="A23" s="120"/>
      <c r="B23" s="160"/>
      <c r="C23" s="74"/>
      <c r="D23" s="77"/>
      <c r="E23" s="174"/>
      <c r="F23" s="76"/>
      <c r="G23" s="76"/>
      <c r="H23" s="72">
        <f t="shared" si="2"/>
        <v>0</v>
      </c>
      <c r="I23" s="85">
        <f t="shared" si="3"/>
        <v>0</v>
      </c>
    </row>
    <row r="24" spans="1:9" s="4" customFormat="1" ht="18" customHeight="1">
      <c r="A24" s="120"/>
      <c r="B24" s="160"/>
      <c r="C24" s="71"/>
      <c r="D24" s="69"/>
      <c r="E24" s="70"/>
      <c r="F24" s="76"/>
      <c r="G24" s="76"/>
      <c r="H24" s="72">
        <f t="shared" si="2"/>
        <v>0</v>
      </c>
      <c r="I24" s="85">
        <f t="shared" si="3"/>
        <v>0</v>
      </c>
    </row>
    <row r="25" spans="1:9" s="4" customFormat="1" ht="18" customHeight="1">
      <c r="A25" s="120"/>
      <c r="B25" s="160"/>
      <c r="C25" s="74"/>
      <c r="D25" s="69"/>
      <c r="E25" s="174"/>
      <c r="F25" s="76"/>
      <c r="G25" s="76"/>
      <c r="H25" s="72">
        <f t="shared" si="2"/>
        <v>0</v>
      </c>
      <c r="I25" s="85">
        <f t="shared" si="3"/>
        <v>0</v>
      </c>
    </row>
    <row r="26" spans="1:9" s="4" customFormat="1" ht="18" customHeight="1">
      <c r="A26" s="120"/>
      <c r="B26" s="160"/>
      <c r="C26" s="74"/>
      <c r="D26" s="69"/>
      <c r="E26" s="174"/>
      <c r="F26" s="71"/>
      <c r="G26" s="71"/>
      <c r="H26" s="72">
        <f t="shared" si="2"/>
        <v>0</v>
      </c>
      <c r="I26" s="85">
        <f t="shared" si="3"/>
        <v>0</v>
      </c>
    </row>
    <row r="27" spans="1:9" s="4" customFormat="1" ht="18" customHeight="1">
      <c r="A27" s="120"/>
      <c r="B27" s="160"/>
      <c r="C27" s="71"/>
      <c r="D27" s="77"/>
      <c r="E27" s="70"/>
      <c r="F27" s="71"/>
      <c r="G27" s="71"/>
      <c r="H27" s="72">
        <f t="shared" si="2"/>
        <v>0</v>
      </c>
      <c r="I27" s="85">
        <f t="shared" si="3"/>
        <v>0</v>
      </c>
    </row>
    <row r="28" spans="1:9" ht="24" customHeight="1" thickBot="1">
      <c r="A28" s="1"/>
      <c r="B28" s="2"/>
      <c r="C28" s="3"/>
      <c r="D28" s="172">
        <f>SUM(D4:D27)</f>
        <v>664</v>
      </c>
      <c r="E28" s="3"/>
      <c r="F28" s="2"/>
      <c r="G28" s="167">
        <f>SUM(G4:G27)</f>
        <v>39</v>
      </c>
      <c r="H28" s="167">
        <f>SUM(H4:H27)</f>
        <v>7310000</v>
      </c>
      <c r="I28" s="86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4330708661417323" right="0.4330708661417323" top="0.5511811023622047" bottom="0.5511811023622047" header="0.31496062992125984" footer="0.31496062992125984"/>
  <pageSetup fitToHeight="1" fitToWidth="1" orientation="landscape" paperSize="9" scale="8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0"/>
  <sheetViews>
    <sheetView zoomScale="70" zoomScaleNormal="70" zoomScalePageLayoutView="0"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B8" sqref="B8"/>
    </sheetView>
  </sheetViews>
  <sheetFormatPr defaultColWidth="9.140625" defaultRowHeight="12.75"/>
  <cols>
    <col min="1" max="1" width="4.00390625" style="22" hidden="1" customWidth="1"/>
    <col min="2" max="2" width="25.421875" style="22" customWidth="1"/>
    <col min="3" max="3" width="16.140625" style="28" customWidth="1"/>
    <col min="4" max="5" width="10.7109375" style="29" customWidth="1"/>
    <col min="6" max="7" width="9.7109375" style="29" customWidth="1"/>
    <col min="8" max="8" width="10.140625" style="29" customWidth="1"/>
    <col min="9" max="9" width="9.7109375" style="29" customWidth="1"/>
    <col min="10" max="10" width="10.28125" style="29" customWidth="1"/>
    <col min="11" max="13" width="9.7109375" style="29" customWidth="1"/>
    <col min="14" max="18" width="10.28125" style="29" customWidth="1"/>
    <col min="19" max="19" width="10.28125" style="140" customWidth="1"/>
    <col min="20" max="22" width="10.28125" style="29" customWidth="1"/>
    <col min="23" max="27" width="9.7109375" style="29" customWidth="1"/>
    <col min="28" max="28" width="10.7109375" style="29" customWidth="1"/>
    <col min="29" max="31" width="9.7109375" style="29" customWidth="1"/>
    <col min="32" max="35" width="9.7109375" style="22" bestFit="1" customWidth="1"/>
    <col min="36" max="36" width="13.00390625" style="22" hidden="1" customWidth="1"/>
    <col min="37" max="37" width="7.8515625" style="22" customWidth="1"/>
    <col min="38" max="38" width="4.7109375" style="22" customWidth="1"/>
    <col min="39" max="16384" width="9.140625" style="22" customWidth="1"/>
  </cols>
  <sheetData>
    <row r="1" spans="3:31" ht="24.75" customHeight="1">
      <c r="C1" s="34" t="s">
        <v>56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139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2:37" s="23" customFormat="1" ht="57" customHeight="1">
      <c r="B2" s="24"/>
      <c r="C2" s="30" t="s">
        <v>28</v>
      </c>
      <c r="D2" s="144" t="s">
        <v>67</v>
      </c>
      <c r="E2" s="144" t="s">
        <v>160</v>
      </c>
      <c r="F2" s="144" t="s">
        <v>159</v>
      </c>
      <c r="G2" s="144" t="s">
        <v>158</v>
      </c>
      <c r="H2" s="144" t="s">
        <v>157</v>
      </c>
      <c r="I2" s="144" t="s">
        <v>94</v>
      </c>
      <c r="J2" s="144" t="s">
        <v>94</v>
      </c>
      <c r="K2" s="144" t="s">
        <v>156</v>
      </c>
      <c r="L2" s="144" t="s">
        <v>155</v>
      </c>
      <c r="M2" s="144" t="s">
        <v>154</v>
      </c>
      <c r="N2" s="144" t="s">
        <v>153</v>
      </c>
      <c r="O2" s="198" t="s">
        <v>152</v>
      </c>
      <c r="P2" s="198" t="s">
        <v>151</v>
      </c>
      <c r="Q2" s="198" t="s">
        <v>150</v>
      </c>
      <c r="R2" s="144" t="s">
        <v>149</v>
      </c>
      <c r="S2" s="144" t="s">
        <v>148</v>
      </c>
      <c r="T2" s="144" t="s">
        <v>147</v>
      </c>
      <c r="U2" s="144" t="s">
        <v>146</v>
      </c>
      <c r="V2" s="144" t="s">
        <v>145</v>
      </c>
      <c r="W2" s="197" t="s">
        <v>144</v>
      </c>
      <c r="X2" s="197" t="s">
        <v>143</v>
      </c>
      <c r="Y2" s="144" t="s">
        <v>142</v>
      </c>
      <c r="Z2" s="144" t="s">
        <v>141</v>
      </c>
      <c r="AA2" s="144" t="s">
        <v>280</v>
      </c>
      <c r="AB2" s="197" t="s">
        <v>279</v>
      </c>
      <c r="AC2" s="197" t="s">
        <v>140</v>
      </c>
      <c r="AD2" s="144" t="s">
        <v>139</v>
      </c>
      <c r="AE2" s="144" t="s">
        <v>138</v>
      </c>
      <c r="AF2" s="144" t="s">
        <v>137</v>
      </c>
      <c r="AG2" s="144" t="s">
        <v>136</v>
      </c>
      <c r="AH2" s="144" t="s">
        <v>135</v>
      </c>
      <c r="AI2" s="144" t="s">
        <v>134</v>
      </c>
      <c r="AJ2" s="146"/>
      <c r="AK2" s="147" t="s">
        <v>64</v>
      </c>
    </row>
    <row r="3" spans="2:39" ht="15">
      <c r="B3" s="120" t="s">
        <v>253</v>
      </c>
      <c r="C3" s="94">
        <f aca="true" t="shared" si="0" ref="C3:C26">SUM(D3:AI3)</f>
        <v>24330000</v>
      </c>
      <c r="D3" s="161">
        <v>3250000</v>
      </c>
      <c r="E3" s="161">
        <v>800000</v>
      </c>
      <c r="F3" s="161">
        <v>250000</v>
      </c>
      <c r="G3" s="161">
        <v>550000</v>
      </c>
      <c r="H3" s="161">
        <v>50000</v>
      </c>
      <c r="I3" s="161">
        <v>1900000</v>
      </c>
      <c r="J3" s="161">
        <v>50000</v>
      </c>
      <c r="K3" s="161"/>
      <c r="L3" s="161">
        <v>1250000</v>
      </c>
      <c r="M3" s="161">
        <v>50000</v>
      </c>
      <c r="N3" s="161"/>
      <c r="O3" s="161"/>
      <c r="P3" s="161"/>
      <c r="Q3" s="161">
        <v>690000</v>
      </c>
      <c r="R3" s="161">
        <v>1550000</v>
      </c>
      <c r="S3" s="161">
        <v>650000</v>
      </c>
      <c r="T3" s="161">
        <v>410000</v>
      </c>
      <c r="U3" s="161">
        <v>950000</v>
      </c>
      <c r="V3" s="161">
        <v>1650000</v>
      </c>
      <c r="W3" s="161">
        <v>530000</v>
      </c>
      <c r="X3" s="161">
        <v>1550000</v>
      </c>
      <c r="Y3" s="161">
        <v>1550000</v>
      </c>
      <c r="Z3" s="161">
        <v>1550000</v>
      </c>
      <c r="AA3" s="161">
        <v>800000</v>
      </c>
      <c r="AB3" s="161">
        <v>800000</v>
      </c>
      <c r="AC3" s="161">
        <v>1250000</v>
      </c>
      <c r="AD3" s="161">
        <v>1550000</v>
      </c>
      <c r="AE3" s="161"/>
      <c r="AF3" s="161"/>
      <c r="AG3" s="161">
        <v>650000</v>
      </c>
      <c r="AH3" s="161">
        <v>50000</v>
      </c>
      <c r="AI3" s="161"/>
      <c r="AJ3" s="142"/>
      <c r="AK3" s="141">
        <f>COUNTIF(D3:AI3,"&gt;0")</f>
        <v>25</v>
      </c>
      <c r="AL3" s="26"/>
      <c r="AM3" s="22">
        <f aca="true" t="shared" si="1" ref="AM3:AM26">C3/AK3</f>
        <v>973200</v>
      </c>
    </row>
    <row r="4" spans="1:39" s="26" customFormat="1" ht="15">
      <c r="A4" s="22"/>
      <c r="B4" s="120" t="s">
        <v>244</v>
      </c>
      <c r="C4" s="94">
        <f t="shared" si="0"/>
        <v>24030000</v>
      </c>
      <c r="D4" s="161">
        <v>2150000</v>
      </c>
      <c r="E4" s="161">
        <v>450000</v>
      </c>
      <c r="F4" s="161">
        <v>50000</v>
      </c>
      <c r="G4" s="161">
        <v>1050000</v>
      </c>
      <c r="H4" s="161">
        <v>650000</v>
      </c>
      <c r="I4" s="161">
        <v>650000</v>
      </c>
      <c r="J4" s="161">
        <v>50000</v>
      </c>
      <c r="K4" s="161">
        <v>290000</v>
      </c>
      <c r="L4" s="161">
        <v>950000</v>
      </c>
      <c r="M4" s="161">
        <v>1250000</v>
      </c>
      <c r="N4" s="161"/>
      <c r="O4" s="161">
        <v>860000</v>
      </c>
      <c r="P4" s="161">
        <v>950000</v>
      </c>
      <c r="Q4" s="161">
        <v>1250000</v>
      </c>
      <c r="R4" s="161">
        <v>1610000</v>
      </c>
      <c r="S4" s="161">
        <v>1550000</v>
      </c>
      <c r="T4" s="161">
        <v>1550000</v>
      </c>
      <c r="U4" s="161">
        <v>530000</v>
      </c>
      <c r="V4" s="161">
        <v>1250000</v>
      </c>
      <c r="W4" s="161">
        <v>50000</v>
      </c>
      <c r="X4" s="161">
        <v>650000</v>
      </c>
      <c r="Y4" s="161">
        <v>50000</v>
      </c>
      <c r="Z4" s="161">
        <v>950000</v>
      </c>
      <c r="AA4" s="161">
        <v>1050000</v>
      </c>
      <c r="AB4" s="161">
        <v>1050000</v>
      </c>
      <c r="AC4" s="161">
        <v>1010000</v>
      </c>
      <c r="AD4" s="161">
        <v>950000</v>
      </c>
      <c r="AE4" s="161">
        <v>530000</v>
      </c>
      <c r="AF4" s="161"/>
      <c r="AG4" s="161"/>
      <c r="AH4" s="161"/>
      <c r="AI4" s="161">
        <v>650000</v>
      </c>
      <c r="AJ4" s="143"/>
      <c r="AK4" s="141">
        <f>COUNTIF(D4:AI4,"&gt;0")</f>
        <v>28</v>
      </c>
      <c r="AL4" s="22"/>
      <c r="AM4" s="22">
        <f t="shared" si="1"/>
        <v>858214.2857142857</v>
      </c>
    </row>
    <row r="5" spans="2:39" ht="15">
      <c r="B5" s="120" t="s">
        <v>250</v>
      </c>
      <c r="C5" s="94">
        <f t="shared" si="0"/>
        <v>17830000</v>
      </c>
      <c r="D5" s="161">
        <v>50000</v>
      </c>
      <c r="E5" s="161">
        <v>350000</v>
      </c>
      <c r="F5" s="161">
        <v>1300000</v>
      </c>
      <c r="G5" s="161">
        <v>350000</v>
      </c>
      <c r="H5" s="161">
        <v>530000</v>
      </c>
      <c r="I5" s="161">
        <v>50000</v>
      </c>
      <c r="J5" s="161">
        <v>50000</v>
      </c>
      <c r="K5" s="161">
        <v>50000</v>
      </c>
      <c r="L5" s="161">
        <v>1550000</v>
      </c>
      <c r="M5" s="161">
        <v>890000</v>
      </c>
      <c r="N5" s="161">
        <v>850000</v>
      </c>
      <c r="O5" s="161">
        <v>710000</v>
      </c>
      <c r="P5" s="161"/>
      <c r="Q5" s="161">
        <v>50000</v>
      </c>
      <c r="R5" s="161">
        <v>530000</v>
      </c>
      <c r="S5" s="161">
        <v>950000</v>
      </c>
      <c r="T5" s="161">
        <v>950000</v>
      </c>
      <c r="U5" s="161">
        <v>50000</v>
      </c>
      <c r="V5" s="161">
        <v>530000</v>
      </c>
      <c r="W5" s="161">
        <v>50000</v>
      </c>
      <c r="X5" s="161">
        <v>530000</v>
      </c>
      <c r="Y5" s="161">
        <v>530000</v>
      </c>
      <c r="Z5" s="161">
        <v>1010000</v>
      </c>
      <c r="AA5" s="161">
        <v>1300000</v>
      </c>
      <c r="AB5" s="161">
        <v>50000</v>
      </c>
      <c r="AC5" s="161">
        <v>530000</v>
      </c>
      <c r="AD5" s="161">
        <v>50000</v>
      </c>
      <c r="AE5" s="161">
        <v>50000</v>
      </c>
      <c r="AF5" s="161">
        <v>1550000</v>
      </c>
      <c r="AG5" s="161">
        <v>50000</v>
      </c>
      <c r="AH5" s="161">
        <v>2050000</v>
      </c>
      <c r="AI5" s="161">
        <v>290000</v>
      </c>
      <c r="AJ5" s="142"/>
      <c r="AK5" s="141">
        <f>COUNTIF(D5:AI5,"&gt;0")</f>
        <v>31</v>
      </c>
      <c r="AM5" s="22">
        <f t="shared" si="1"/>
        <v>575161.2903225806</v>
      </c>
    </row>
    <row r="6" spans="1:39" s="27" customFormat="1" ht="15">
      <c r="A6" s="22"/>
      <c r="B6" s="120" t="s">
        <v>246</v>
      </c>
      <c r="C6" s="94">
        <f t="shared" si="0"/>
        <v>17415000</v>
      </c>
      <c r="D6" s="161">
        <v>50000</v>
      </c>
      <c r="E6" s="161">
        <v>1300000</v>
      </c>
      <c r="F6" s="161">
        <v>550000</v>
      </c>
      <c r="G6" s="161">
        <v>450000</v>
      </c>
      <c r="H6" s="161">
        <v>50000</v>
      </c>
      <c r="I6" s="161">
        <v>1050000</v>
      </c>
      <c r="J6" s="161">
        <v>675000</v>
      </c>
      <c r="K6" s="161">
        <v>50000</v>
      </c>
      <c r="L6" s="161">
        <v>50000</v>
      </c>
      <c r="M6" s="161">
        <v>950000</v>
      </c>
      <c r="N6" s="161">
        <v>2530000</v>
      </c>
      <c r="O6" s="161"/>
      <c r="P6" s="161"/>
      <c r="Q6" s="331">
        <v>1010000</v>
      </c>
      <c r="R6" s="161">
        <v>650000</v>
      </c>
      <c r="S6" s="161">
        <v>410000</v>
      </c>
      <c r="T6" s="161">
        <v>50000</v>
      </c>
      <c r="U6" s="161">
        <v>50000</v>
      </c>
      <c r="V6" s="161"/>
      <c r="W6" s="161">
        <v>1250000</v>
      </c>
      <c r="X6" s="161">
        <v>1250000</v>
      </c>
      <c r="Y6" s="161">
        <v>770000</v>
      </c>
      <c r="Z6" s="161">
        <v>770000</v>
      </c>
      <c r="AA6" s="161">
        <v>350000</v>
      </c>
      <c r="AB6" s="161">
        <v>450000</v>
      </c>
      <c r="AC6" s="161"/>
      <c r="AD6" s="161">
        <v>290000</v>
      </c>
      <c r="AE6" s="161">
        <v>770000</v>
      </c>
      <c r="AF6" s="161">
        <v>290000</v>
      </c>
      <c r="AG6" s="161">
        <v>290000</v>
      </c>
      <c r="AH6" s="161">
        <v>1010000</v>
      </c>
      <c r="AI6" s="161">
        <v>50000</v>
      </c>
      <c r="AJ6" s="142"/>
      <c r="AK6" s="141">
        <f>COUNTIF(D6:AI6,"&gt;0")</f>
        <v>28</v>
      </c>
      <c r="AL6" s="22"/>
      <c r="AM6" s="22">
        <f t="shared" si="1"/>
        <v>621964.2857142857</v>
      </c>
    </row>
    <row r="7" spans="1:39" s="27" customFormat="1" ht="15">
      <c r="A7" s="22"/>
      <c r="B7" s="120" t="s">
        <v>217</v>
      </c>
      <c r="C7" s="94">
        <f t="shared" si="0"/>
        <v>16070000</v>
      </c>
      <c r="D7" s="161">
        <v>650000</v>
      </c>
      <c r="E7" s="161"/>
      <c r="F7" s="161">
        <v>650000</v>
      </c>
      <c r="G7" s="161">
        <v>1300000</v>
      </c>
      <c r="H7" s="161">
        <v>770000</v>
      </c>
      <c r="I7" s="161">
        <v>350000</v>
      </c>
      <c r="J7" s="161">
        <v>50000</v>
      </c>
      <c r="K7" s="161">
        <v>650000</v>
      </c>
      <c r="L7" s="161">
        <v>410000</v>
      </c>
      <c r="M7" s="161">
        <v>50000</v>
      </c>
      <c r="N7" s="161">
        <v>50000</v>
      </c>
      <c r="O7" s="161">
        <v>860000</v>
      </c>
      <c r="P7" s="161"/>
      <c r="Q7" s="332"/>
      <c r="R7" s="161"/>
      <c r="S7" s="161">
        <v>770000</v>
      </c>
      <c r="T7" s="161">
        <v>530000</v>
      </c>
      <c r="U7" s="161">
        <v>410000</v>
      </c>
      <c r="V7" s="161">
        <v>690000</v>
      </c>
      <c r="W7" s="161">
        <v>410000</v>
      </c>
      <c r="X7" s="161">
        <v>50000</v>
      </c>
      <c r="Y7" s="161">
        <v>50000</v>
      </c>
      <c r="Z7" s="161">
        <v>410000</v>
      </c>
      <c r="AA7" s="161">
        <v>50000</v>
      </c>
      <c r="AB7" s="161">
        <v>50000</v>
      </c>
      <c r="AC7" s="161">
        <v>2050000</v>
      </c>
      <c r="AD7" s="161">
        <v>410000</v>
      </c>
      <c r="AE7" s="161">
        <v>1550000</v>
      </c>
      <c r="AF7" s="161">
        <v>950000</v>
      </c>
      <c r="AG7" s="161">
        <v>770000</v>
      </c>
      <c r="AH7" s="161"/>
      <c r="AI7" s="161">
        <v>1130000</v>
      </c>
      <c r="AJ7" s="143"/>
      <c r="AK7" s="141">
        <f>COUNTIF(F7:AI7,"&gt;0")</f>
        <v>26</v>
      </c>
      <c r="AL7" s="22"/>
      <c r="AM7" s="22">
        <f t="shared" si="1"/>
        <v>618076.9230769231</v>
      </c>
    </row>
    <row r="8" spans="1:39" ht="15">
      <c r="A8" s="27"/>
      <c r="B8" s="120" t="s">
        <v>221</v>
      </c>
      <c r="C8" s="94">
        <f t="shared" si="0"/>
        <v>15695000</v>
      </c>
      <c r="D8" s="161">
        <v>1050000</v>
      </c>
      <c r="E8" s="161">
        <v>650000</v>
      </c>
      <c r="F8" s="161">
        <v>1350000</v>
      </c>
      <c r="G8" s="161">
        <v>650000</v>
      </c>
      <c r="H8" s="161">
        <v>50000</v>
      </c>
      <c r="I8" s="161">
        <v>50000</v>
      </c>
      <c r="J8" s="161">
        <v>675000</v>
      </c>
      <c r="K8" s="161">
        <v>530000</v>
      </c>
      <c r="L8" s="161">
        <v>770000</v>
      </c>
      <c r="M8" s="161">
        <v>410000</v>
      </c>
      <c r="N8" s="161">
        <v>50000</v>
      </c>
      <c r="O8" s="161"/>
      <c r="P8" s="161"/>
      <c r="Q8" s="161"/>
      <c r="R8" s="161">
        <v>410000</v>
      </c>
      <c r="S8" s="161">
        <v>650000</v>
      </c>
      <c r="T8" s="161"/>
      <c r="U8" s="161">
        <v>1250000</v>
      </c>
      <c r="V8" s="161">
        <v>850000</v>
      </c>
      <c r="W8" s="161">
        <v>50000</v>
      </c>
      <c r="X8" s="161">
        <v>50000</v>
      </c>
      <c r="Y8" s="161">
        <v>50000</v>
      </c>
      <c r="Z8" s="161"/>
      <c r="AA8" s="161">
        <v>950000</v>
      </c>
      <c r="AB8" s="161">
        <v>1300000</v>
      </c>
      <c r="AC8" s="161">
        <v>1650000</v>
      </c>
      <c r="AD8" s="161"/>
      <c r="AE8" s="161">
        <v>50000</v>
      </c>
      <c r="AF8" s="161">
        <v>1250000</v>
      </c>
      <c r="AG8" s="161">
        <v>950000</v>
      </c>
      <c r="AH8" s="161"/>
      <c r="AI8" s="161"/>
      <c r="AJ8" s="142"/>
      <c r="AK8" s="141">
        <f>COUNTIF(D8:AI8,"&gt;0")</f>
        <v>24</v>
      </c>
      <c r="AM8" s="22">
        <f t="shared" si="1"/>
        <v>653958.3333333334</v>
      </c>
    </row>
    <row r="9" spans="2:39" ht="15">
      <c r="B9" s="120" t="s">
        <v>243</v>
      </c>
      <c r="C9" s="94">
        <f t="shared" si="0"/>
        <v>15130000</v>
      </c>
      <c r="D9" s="161">
        <v>50000</v>
      </c>
      <c r="E9" s="161"/>
      <c r="F9" s="161">
        <v>450000</v>
      </c>
      <c r="G9" s="161">
        <v>50000</v>
      </c>
      <c r="H9" s="161">
        <v>950000</v>
      </c>
      <c r="I9" s="161"/>
      <c r="J9" s="161"/>
      <c r="K9" s="161">
        <v>1550000</v>
      </c>
      <c r="L9" s="161">
        <v>50000</v>
      </c>
      <c r="M9" s="161">
        <v>1550000</v>
      </c>
      <c r="N9" s="161">
        <v>1650000</v>
      </c>
      <c r="O9" s="161">
        <v>50000</v>
      </c>
      <c r="P9" s="161"/>
      <c r="Q9" s="161">
        <v>2530000</v>
      </c>
      <c r="R9" s="161">
        <v>770000</v>
      </c>
      <c r="S9" s="161">
        <v>1250000</v>
      </c>
      <c r="T9" s="161">
        <v>410000</v>
      </c>
      <c r="U9" s="161"/>
      <c r="V9" s="161">
        <v>50000</v>
      </c>
      <c r="W9" s="161"/>
      <c r="X9" s="161">
        <v>950000</v>
      </c>
      <c r="Y9" s="161">
        <v>50000</v>
      </c>
      <c r="Z9" s="161"/>
      <c r="AA9" s="161">
        <v>50000</v>
      </c>
      <c r="AB9" s="161">
        <v>50000</v>
      </c>
      <c r="AC9" s="161">
        <v>50000</v>
      </c>
      <c r="AD9" s="161">
        <v>50000</v>
      </c>
      <c r="AE9" s="161">
        <v>650000</v>
      </c>
      <c r="AF9" s="161">
        <v>650000</v>
      </c>
      <c r="AG9" s="161">
        <v>530000</v>
      </c>
      <c r="AH9" s="161">
        <v>690000</v>
      </c>
      <c r="AI9" s="161">
        <v>50000</v>
      </c>
      <c r="AJ9" s="142"/>
      <c r="AK9" s="141">
        <f>COUNTIF(D9:AI9,"&gt;0")</f>
        <v>25</v>
      </c>
      <c r="AM9" s="22">
        <f t="shared" si="1"/>
        <v>605200</v>
      </c>
    </row>
    <row r="10" spans="2:39" ht="15">
      <c r="B10" s="120" t="s">
        <v>254</v>
      </c>
      <c r="C10" s="94">
        <f t="shared" si="0"/>
        <v>14980000</v>
      </c>
      <c r="D10" s="161">
        <v>2550000</v>
      </c>
      <c r="E10" s="161"/>
      <c r="F10" s="161"/>
      <c r="G10" s="161"/>
      <c r="H10" s="161">
        <v>1910000</v>
      </c>
      <c r="I10" s="161">
        <v>50000</v>
      </c>
      <c r="J10" s="161">
        <v>300000</v>
      </c>
      <c r="K10" s="161">
        <v>50000</v>
      </c>
      <c r="L10" s="161">
        <v>1010000</v>
      </c>
      <c r="M10" s="161"/>
      <c r="N10" s="161"/>
      <c r="O10" s="161">
        <v>590000</v>
      </c>
      <c r="P10" s="161"/>
      <c r="Q10" s="161"/>
      <c r="R10" s="161"/>
      <c r="S10" s="161"/>
      <c r="T10" s="161">
        <v>650000</v>
      </c>
      <c r="U10" s="161">
        <v>1550000</v>
      </c>
      <c r="V10" s="161">
        <v>850000</v>
      </c>
      <c r="W10" s="161"/>
      <c r="X10" s="161"/>
      <c r="Y10" s="161">
        <v>1310000</v>
      </c>
      <c r="Z10" s="161">
        <v>1250000</v>
      </c>
      <c r="AA10" s="161">
        <v>350000</v>
      </c>
      <c r="AB10" s="161">
        <v>650000</v>
      </c>
      <c r="AC10" s="161"/>
      <c r="AD10" s="161"/>
      <c r="AE10" s="161"/>
      <c r="AF10" s="161"/>
      <c r="AG10" s="161">
        <v>1910000</v>
      </c>
      <c r="AH10" s="161"/>
      <c r="AI10" s="161"/>
      <c r="AJ10" s="142"/>
      <c r="AK10" s="141">
        <f>COUNTIF(D10:AI10,"&gt;0")</f>
        <v>15</v>
      </c>
      <c r="AM10" s="22">
        <f t="shared" si="1"/>
        <v>998666.6666666666</v>
      </c>
    </row>
    <row r="11" spans="2:39" ht="15">
      <c r="B11" s="120" t="s">
        <v>255</v>
      </c>
      <c r="C11" s="94">
        <f t="shared" si="0"/>
        <v>11250000</v>
      </c>
      <c r="D11" s="161"/>
      <c r="E11" s="161"/>
      <c r="F11" s="161"/>
      <c r="G11" s="161"/>
      <c r="H11" s="161"/>
      <c r="I11" s="161">
        <v>1100000</v>
      </c>
      <c r="J11" s="161">
        <v>50000</v>
      </c>
      <c r="K11" s="161">
        <v>1250000</v>
      </c>
      <c r="L11" s="161">
        <v>50000</v>
      </c>
      <c r="M11" s="161"/>
      <c r="N11" s="161">
        <v>50000</v>
      </c>
      <c r="O11" s="161"/>
      <c r="P11" s="161"/>
      <c r="Q11" s="161">
        <v>1650000</v>
      </c>
      <c r="R11" s="161"/>
      <c r="S11" s="161">
        <v>50000</v>
      </c>
      <c r="T11" s="161">
        <v>50000</v>
      </c>
      <c r="U11" s="161">
        <v>650000</v>
      </c>
      <c r="V11" s="161"/>
      <c r="W11" s="161">
        <v>1550000</v>
      </c>
      <c r="X11" s="161">
        <v>290000</v>
      </c>
      <c r="Y11" s="161">
        <v>50000</v>
      </c>
      <c r="Z11" s="161"/>
      <c r="AA11" s="161"/>
      <c r="AB11" s="161"/>
      <c r="AC11" s="161">
        <v>50000</v>
      </c>
      <c r="AD11" s="161">
        <v>1610000</v>
      </c>
      <c r="AE11" s="161"/>
      <c r="AF11" s="161"/>
      <c r="AG11" s="161">
        <v>1250000</v>
      </c>
      <c r="AH11" s="161"/>
      <c r="AI11" s="161">
        <v>1550000</v>
      </c>
      <c r="AJ11" s="143"/>
      <c r="AK11" s="141">
        <f>COUNTIF(F11:AI11,"&gt;0")</f>
        <v>16</v>
      </c>
      <c r="AM11" s="22">
        <f t="shared" si="1"/>
        <v>703125</v>
      </c>
    </row>
    <row r="12" spans="1:39" s="27" customFormat="1" ht="15">
      <c r="A12" s="22"/>
      <c r="B12" s="120" t="s">
        <v>230</v>
      </c>
      <c r="C12" s="94">
        <f t="shared" si="0"/>
        <v>9620000</v>
      </c>
      <c r="D12" s="161">
        <v>650000</v>
      </c>
      <c r="E12" s="161">
        <v>50000</v>
      </c>
      <c r="F12" s="161"/>
      <c r="G12" s="161">
        <v>250000</v>
      </c>
      <c r="H12" s="161"/>
      <c r="I12" s="161">
        <v>550000</v>
      </c>
      <c r="J12" s="161">
        <v>50000</v>
      </c>
      <c r="K12" s="161">
        <v>50000</v>
      </c>
      <c r="L12" s="161"/>
      <c r="M12" s="161">
        <v>290000</v>
      </c>
      <c r="N12" s="161">
        <v>530000</v>
      </c>
      <c r="O12" s="161"/>
      <c r="P12" s="161">
        <v>1550000</v>
      </c>
      <c r="Q12" s="161"/>
      <c r="R12" s="161"/>
      <c r="S12" s="161"/>
      <c r="T12" s="161">
        <v>50000</v>
      </c>
      <c r="U12" s="161">
        <v>770000</v>
      </c>
      <c r="V12" s="161">
        <v>50000</v>
      </c>
      <c r="W12" s="161">
        <v>950000</v>
      </c>
      <c r="X12" s="161">
        <v>50000</v>
      </c>
      <c r="Y12" s="161">
        <v>650000</v>
      </c>
      <c r="Z12" s="161">
        <v>50000</v>
      </c>
      <c r="AA12" s="161">
        <v>950000</v>
      </c>
      <c r="AB12" s="161">
        <v>350000</v>
      </c>
      <c r="AC12" s="161">
        <v>690000</v>
      </c>
      <c r="AD12" s="161">
        <v>50000</v>
      </c>
      <c r="AE12" s="161">
        <v>50000</v>
      </c>
      <c r="AF12" s="161">
        <v>50000</v>
      </c>
      <c r="AG12" s="161"/>
      <c r="AH12" s="161">
        <v>530000</v>
      </c>
      <c r="AI12" s="161">
        <v>410000</v>
      </c>
      <c r="AJ12" s="142"/>
      <c r="AK12" s="141">
        <f aca="true" t="shared" si="2" ref="AK12:AK19">COUNTIF(D12:AI12,"&gt;0")</f>
        <v>24</v>
      </c>
      <c r="AM12" s="22">
        <f t="shared" si="1"/>
        <v>400833.3333333333</v>
      </c>
    </row>
    <row r="13" spans="1:39" ht="15">
      <c r="A13" s="27"/>
      <c r="B13" s="120" t="s">
        <v>239</v>
      </c>
      <c r="C13" s="94">
        <f t="shared" si="0"/>
        <v>8845000</v>
      </c>
      <c r="D13" s="161">
        <v>1850000</v>
      </c>
      <c r="E13" s="161">
        <v>1050000</v>
      </c>
      <c r="F13" s="161">
        <v>350000</v>
      </c>
      <c r="G13" s="161">
        <v>350000</v>
      </c>
      <c r="H13" s="161">
        <v>1250000</v>
      </c>
      <c r="I13" s="161">
        <v>50000</v>
      </c>
      <c r="J13" s="161">
        <v>1175000</v>
      </c>
      <c r="K13" s="161">
        <v>50000</v>
      </c>
      <c r="L13" s="161"/>
      <c r="M13" s="161"/>
      <c r="N13" s="161">
        <v>50000</v>
      </c>
      <c r="O13" s="161">
        <v>50000</v>
      </c>
      <c r="P13" s="161">
        <v>770000</v>
      </c>
      <c r="Q13" s="161"/>
      <c r="R13" s="161">
        <v>50000</v>
      </c>
      <c r="S13" s="161">
        <v>50000</v>
      </c>
      <c r="T13" s="161">
        <v>1250000</v>
      </c>
      <c r="U13" s="161">
        <v>50000</v>
      </c>
      <c r="V13" s="161">
        <v>50000</v>
      </c>
      <c r="W13" s="161">
        <v>50000</v>
      </c>
      <c r="X13" s="161">
        <v>50000</v>
      </c>
      <c r="Y13" s="161">
        <v>50000</v>
      </c>
      <c r="Z13" s="161">
        <v>50000</v>
      </c>
      <c r="AA13" s="161">
        <v>50000</v>
      </c>
      <c r="AB13" s="161">
        <v>50000</v>
      </c>
      <c r="AC13" s="161">
        <v>50000</v>
      </c>
      <c r="AD13" s="161"/>
      <c r="AE13" s="161"/>
      <c r="AF13" s="161"/>
      <c r="AG13" s="161"/>
      <c r="AH13" s="161"/>
      <c r="AI13" s="161">
        <v>50000</v>
      </c>
      <c r="AJ13" s="143"/>
      <c r="AK13" s="141">
        <f t="shared" si="2"/>
        <v>24</v>
      </c>
      <c r="AM13" s="22">
        <f t="shared" si="1"/>
        <v>368541.6666666667</v>
      </c>
    </row>
    <row r="14" spans="2:39" ht="15">
      <c r="B14" s="120" t="s">
        <v>241</v>
      </c>
      <c r="C14" s="94">
        <f t="shared" si="0"/>
        <v>8600000</v>
      </c>
      <c r="D14" s="161">
        <v>450000</v>
      </c>
      <c r="E14" s="161">
        <v>50000</v>
      </c>
      <c r="F14" s="161">
        <v>800000</v>
      </c>
      <c r="G14" s="161">
        <v>50000</v>
      </c>
      <c r="H14" s="161">
        <v>50000</v>
      </c>
      <c r="I14" s="161">
        <v>350000</v>
      </c>
      <c r="J14" s="161">
        <v>50000</v>
      </c>
      <c r="K14" s="161">
        <v>410000</v>
      </c>
      <c r="L14" s="161">
        <v>50000</v>
      </c>
      <c r="M14" s="161">
        <v>50000</v>
      </c>
      <c r="N14" s="161">
        <v>1250000</v>
      </c>
      <c r="O14" s="161">
        <v>50000</v>
      </c>
      <c r="P14" s="161"/>
      <c r="Q14" s="161"/>
      <c r="R14" s="161">
        <v>950000</v>
      </c>
      <c r="S14" s="161">
        <v>50000</v>
      </c>
      <c r="T14" s="161">
        <v>50000</v>
      </c>
      <c r="U14" s="161">
        <v>50000</v>
      </c>
      <c r="V14" s="161"/>
      <c r="W14" s="161"/>
      <c r="X14" s="161">
        <v>50000</v>
      </c>
      <c r="Y14" s="161">
        <v>290000</v>
      </c>
      <c r="Z14" s="161">
        <v>530000</v>
      </c>
      <c r="AA14" s="161">
        <v>550000</v>
      </c>
      <c r="AB14" s="161">
        <v>550000</v>
      </c>
      <c r="AC14" s="161">
        <v>50000</v>
      </c>
      <c r="AD14" s="161">
        <v>530000</v>
      </c>
      <c r="AE14" s="161">
        <v>290000</v>
      </c>
      <c r="AF14" s="161">
        <v>50000</v>
      </c>
      <c r="AG14" s="161">
        <v>50000</v>
      </c>
      <c r="AH14" s="161"/>
      <c r="AI14" s="161">
        <v>950000</v>
      </c>
      <c r="AJ14" s="142"/>
      <c r="AK14" s="141">
        <f t="shared" si="2"/>
        <v>27</v>
      </c>
      <c r="AL14" s="27"/>
      <c r="AM14" s="22">
        <f t="shared" si="1"/>
        <v>318518.51851851854</v>
      </c>
    </row>
    <row r="15" spans="1:39" ht="15">
      <c r="A15" s="27"/>
      <c r="B15" s="120" t="s">
        <v>240</v>
      </c>
      <c r="C15" s="94">
        <f t="shared" si="0"/>
        <v>7970000</v>
      </c>
      <c r="D15" s="161"/>
      <c r="E15" s="161"/>
      <c r="F15" s="161"/>
      <c r="G15" s="161">
        <v>800000</v>
      </c>
      <c r="H15" s="161"/>
      <c r="I15" s="161">
        <v>550000</v>
      </c>
      <c r="J15" s="161">
        <v>50000</v>
      </c>
      <c r="K15" s="161"/>
      <c r="L15" s="161"/>
      <c r="M15" s="161">
        <v>770000</v>
      </c>
      <c r="N15" s="161">
        <v>690000</v>
      </c>
      <c r="O15" s="161">
        <v>590000</v>
      </c>
      <c r="P15" s="161"/>
      <c r="Q15" s="161"/>
      <c r="R15" s="161"/>
      <c r="S15" s="161">
        <v>50000</v>
      </c>
      <c r="T15" s="161"/>
      <c r="U15" s="161">
        <v>50000</v>
      </c>
      <c r="V15" s="161">
        <v>2050000</v>
      </c>
      <c r="W15" s="161">
        <v>50000</v>
      </c>
      <c r="X15" s="161">
        <v>770000</v>
      </c>
      <c r="Y15" s="161">
        <v>50000</v>
      </c>
      <c r="Z15" s="161"/>
      <c r="AA15" s="161">
        <v>50000</v>
      </c>
      <c r="AB15" s="161">
        <v>50000</v>
      </c>
      <c r="AC15" s="161">
        <v>50000</v>
      </c>
      <c r="AD15" s="161">
        <v>50000</v>
      </c>
      <c r="AE15" s="161">
        <v>50000</v>
      </c>
      <c r="AF15" s="161"/>
      <c r="AG15" s="161"/>
      <c r="AH15" s="161"/>
      <c r="AI15" s="161">
        <v>1250000</v>
      </c>
      <c r="AJ15" s="142"/>
      <c r="AK15" s="141">
        <f t="shared" si="2"/>
        <v>18</v>
      </c>
      <c r="AM15" s="22">
        <f t="shared" si="1"/>
        <v>442777.77777777775</v>
      </c>
    </row>
    <row r="16" spans="1:39" s="27" customFormat="1" ht="15">
      <c r="A16" s="22"/>
      <c r="B16" s="120" t="s">
        <v>245</v>
      </c>
      <c r="C16" s="94">
        <f t="shared" si="0"/>
        <v>7350000</v>
      </c>
      <c r="D16" s="161">
        <v>1450000</v>
      </c>
      <c r="E16" s="161"/>
      <c r="F16" s="161"/>
      <c r="G16" s="161">
        <v>50000</v>
      </c>
      <c r="H16" s="161"/>
      <c r="I16" s="161"/>
      <c r="J16" s="161"/>
      <c r="K16" s="161">
        <v>770000</v>
      </c>
      <c r="L16" s="161"/>
      <c r="M16" s="161">
        <v>650000</v>
      </c>
      <c r="N16" s="161"/>
      <c r="O16" s="161">
        <v>1400000</v>
      </c>
      <c r="P16" s="161"/>
      <c r="Q16" s="161"/>
      <c r="R16" s="161"/>
      <c r="S16" s="161"/>
      <c r="T16" s="161"/>
      <c r="U16" s="161"/>
      <c r="V16" s="161"/>
      <c r="W16" s="161"/>
      <c r="X16" s="161"/>
      <c r="Y16" s="161">
        <v>1250000</v>
      </c>
      <c r="Z16" s="161"/>
      <c r="AA16" s="161">
        <v>550000</v>
      </c>
      <c r="AB16" s="161">
        <v>50000</v>
      </c>
      <c r="AC16" s="161"/>
      <c r="AD16" s="161"/>
      <c r="AE16" s="161">
        <v>770000</v>
      </c>
      <c r="AF16" s="161"/>
      <c r="AG16" s="161">
        <v>410000</v>
      </c>
      <c r="AH16" s="161"/>
      <c r="AI16" s="161"/>
      <c r="AJ16" s="143"/>
      <c r="AK16" s="141">
        <f t="shared" si="2"/>
        <v>10</v>
      </c>
      <c r="AL16" s="22"/>
      <c r="AM16" s="22">
        <f t="shared" si="1"/>
        <v>735000</v>
      </c>
    </row>
    <row r="17" spans="2:39" ht="15">
      <c r="B17" s="120" t="s">
        <v>251</v>
      </c>
      <c r="C17" s="94">
        <f t="shared" si="0"/>
        <v>7150000</v>
      </c>
      <c r="D17" s="161">
        <v>650000</v>
      </c>
      <c r="E17" s="161"/>
      <c r="F17" s="161"/>
      <c r="G17" s="161"/>
      <c r="H17" s="161">
        <v>50000</v>
      </c>
      <c r="I17" s="161"/>
      <c r="J17" s="161">
        <v>50000</v>
      </c>
      <c r="K17" s="161">
        <v>950000</v>
      </c>
      <c r="L17" s="161">
        <v>50000</v>
      </c>
      <c r="M17" s="161"/>
      <c r="N17" s="161">
        <v>370000</v>
      </c>
      <c r="O17" s="161"/>
      <c r="P17" s="161"/>
      <c r="Q17" s="161"/>
      <c r="R17" s="161"/>
      <c r="S17" s="161">
        <v>50000</v>
      </c>
      <c r="T17" s="161">
        <v>770000</v>
      </c>
      <c r="U17" s="161"/>
      <c r="V17" s="161">
        <v>50000</v>
      </c>
      <c r="W17" s="161">
        <v>290000</v>
      </c>
      <c r="X17" s="161">
        <v>770000</v>
      </c>
      <c r="Y17" s="161">
        <v>410000</v>
      </c>
      <c r="Z17" s="161"/>
      <c r="AA17" s="161">
        <v>50000</v>
      </c>
      <c r="AB17" s="161">
        <v>50000</v>
      </c>
      <c r="AC17" s="161"/>
      <c r="AD17" s="161">
        <v>650000</v>
      </c>
      <c r="AE17" s="161">
        <v>950000</v>
      </c>
      <c r="AF17" s="161">
        <v>410000</v>
      </c>
      <c r="AG17" s="161">
        <v>50000</v>
      </c>
      <c r="AH17" s="161"/>
      <c r="AI17" s="161">
        <v>530000</v>
      </c>
      <c r="AJ17" s="142"/>
      <c r="AK17" s="141">
        <f t="shared" si="2"/>
        <v>19</v>
      </c>
      <c r="AM17" s="22">
        <f t="shared" si="1"/>
        <v>376315.7894736842</v>
      </c>
    </row>
    <row r="18" spans="2:39" ht="15">
      <c r="B18" s="120" t="s">
        <v>238</v>
      </c>
      <c r="C18" s="94">
        <f t="shared" si="0"/>
        <v>6760000</v>
      </c>
      <c r="D18" s="161">
        <v>50000</v>
      </c>
      <c r="E18" s="161">
        <v>250000</v>
      </c>
      <c r="F18" s="161"/>
      <c r="G18" s="161"/>
      <c r="H18" s="161"/>
      <c r="I18" s="161">
        <v>50000</v>
      </c>
      <c r="J18" s="161">
        <v>50000</v>
      </c>
      <c r="K18" s="161">
        <v>410000</v>
      </c>
      <c r="L18" s="161"/>
      <c r="M18" s="161">
        <v>50000</v>
      </c>
      <c r="N18" s="161"/>
      <c r="O18" s="161">
        <v>1400000</v>
      </c>
      <c r="P18" s="161"/>
      <c r="Q18" s="161">
        <v>850000</v>
      </c>
      <c r="R18" s="161"/>
      <c r="S18" s="161"/>
      <c r="T18" s="161"/>
      <c r="U18" s="161">
        <v>50000</v>
      </c>
      <c r="V18" s="161"/>
      <c r="W18" s="161"/>
      <c r="X18" s="161"/>
      <c r="Y18" s="161">
        <v>50000</v>
      </c>
      <c r="Z18" s="161">
        <v>50000</v>
      </c>
      <c r="AA18" s="161">
        <v>50000</v>
      </c>
      <c r="AB18" s="161">
        <v>50000</v>
      </c>
      <c r="AC18" s="161">
        <v>850000</v>
      </c>
      <c r="AD18" s="161"/>
      <c r="AE18" s="161">
        <v>1250000</v>
      </c>
      <c r="AF18" s="161"/>
      <c r="AG18" s="161">
        <v>50000</v>
      </c>
      <c r="AH18" s="161">
        <v>1250000</v>
      </c>
      <c r="AI18" s="161"/>
      <c r="AJ18" s="142"/>
      <c r="AK18" s="141">
        <f t="shared" si="2"/>
        <v>17</v>
      </c>
      <c r="AM18" s="22">
        <f t="shared" si="1"/>
        <v>397647.0588235294</v>
      </c>
    </row>
    <row r="19" spans="1:39" ht="15">
      <c r="A19" s="27"/>
      <c r="B19" s="120" t="s">
        <v>248</v>
      </c>
      <c r="C19" s="94">
        <f t="shared" si="0"/>
        <v>5290000</v>
      </c>
      <c r="D19" s="161"/>
      <c r="E19" s="161">
        <v>550000</v>
      </c>
      <c r="F19" s="161"/>
      <c r="G19" s="161">
        <v>50000</v>
      </c>
      <c r="H19" s="161">
        <v>290000</v>
      </c>
      <c r="I19" s="161">
        <v>450000</v>
      </c>
      <c r="J19" s="161">
        <v>500000</v>
      </c>
      <c r="K19" s="161">
        <v>50000</v>
      </c>
      <c r="L19" s="161">
        <v>50000</v>
      </c>
      <c r="M19" s="161">
        <v>50000</v>
      </c>
      <c r="N19" s="161">
        <v>50000</v>
      </c>
      <c r="O19" s="161">
        <v>50000</v>
      </c>
      <c r="P19" s="161"/>
      <c r="Q19" s="161"/>
      <c r="R19" s="161"/>
      <c r="S19" s="161">
        <v>530000</v>
      </c>
      <c r="T19" s="161">
        <v>290000</v>
      </c>
      <c r="U19" s="161">
        <v>50000</v>
      </c>
      <c r="V19" s="161">
        <v>1010000</v>
      </c>
      <c r="W19" s="161"/>
      <c r="X19" s="161">
        <v>50000</v>
      </c>
      <c r="Y19" s="161">
        <v>50000</v>
      </c>
      <c r="Z19" s="161"/>
      <c r="AA19" s="161">
        <v>50000</v>
      </c>
      <c r="AB19" s="161">
        <v>250000</v>
      </c>
      <c r="AC19" s="161">
        <v>50000</v>
      </c>
      <c r="AD19" s="161">
        <v>770000</v>
      </c>
      <c r="AE19" s="161">
        <v>50000</v>
      </c>
      <c r="AF19" s="161">
        <v>50000</v>
      </c>
      <c r="AG19" s="161"/>
      <c r="AH19" s="161"/>
      <c r="AI19" s="161"/>
      <c r="AJ19" s="143"/>
      <c r="AK19" s="141">
        <f t="shared" si="2"/>
        <v>22</v>
      </c>
      <c r="AM19" s="22">
        <f t="shared" si="1"/>
        <v>240454.54545454544</v>
      </c>
    </row>
    <row r="20" spans="2:39" ht="15">
      <c r="B20" s="120" t="s">
        <v>247</v>
      </c>
      <c r="C20" s="94">
        <f t="shared" si="0"/>
        <v>3520000</v>
      </c>
      <c r="D20" s="161"/>
      <c r="E20" s="161"/>
      <c r="F20" s="161"/>
      <c r="G20" s="161"/>
      <c r="H20" s="161"/>
      <c r="I20" s="161">
        <v>50000</v>
      </c>
      <c r="J20" s="161">
        <v>50000</v>
      </c>
      <c r="K20" s="161"/>
      <c r="L20" s="161"/>
      <c r="M20" s="161">
        <v>50000</v>
      </c>
      <c r="N20" s="161"/>
      <c r="O20" s="161"/>
      <c r="P20" s="161">
        <v>650000</v>
      </c>
      <c r="Q20" s="161">
        <v>370000</v>
      </c>
      <c r="R20" s="161">
        <v>290000</v>
      </c>
      <c r="S20" s="161"/>
      <c r="T20" s="161"/>
      <c r="U20" s="161">
        <v>650000</v>
      </c>
      <c r="V20" s="161"/>
      <c r="W20" s="161">
        <v>50000</v>
      </c>
      <c r="X20" s="161"/>
      <c r="Y20" s="161">
        <v>50000</v>
      </c>
      <c r="Z20" s="161">
        <v>290000</v>
      </c>
      <c r="AA20" s="161">
        <v>450000</v>
      </c>
      <c r="AB20" s="161">
        <v>50000</v>
      </c>
      <c r="AC20" s="161"/>
      <c r="AD20" s="161"/>
      <c r="AE20" s="161">
        <v>50000</v>
      </c>
      <c r="AF20" s="161">
        <v>50000</v>
      </c>
      <c r="AG20" s="161">
        <v>50000</v>
      </c>
      <c r="AH20" s="161">
        <v>370000</v>
      </c>
      <c r="AI20" s="161"/>
      <c r="AJ20" s="143"/>
      <c r="AK20" s="141">
        <f>COUNTIF(F20:AI20,"&gt;0")</f>
        <v>16</v>
      </c>
      <c r="AL20" s="27"/>
      <c r="AM20" s="22">
        <f t="shared" si="1"/>
        <v>220000</v>
      </c>
    </row>
    <row r="21" spans="2:39" ht="15">
      <c r="B21" s="120" t="s">
        <v>249</v>
      </c>
      <c r="C21" s="94">
        <f t="shared" si="0"/>
        <v>3400000</v>
      </c>
      <c r="D21" s="161">
        <v>50000</v>
      </c>
      <c r="E21" s="161">
        <v>50000</v>
      </c>
      <c r="F21" s="161"/>
      <c r="G21" s="161">
        <v>50000</v>
      </c>
      <c r="H21" s="161">
        <v>50000</v>
      </c>
      <c r="I21" s="161">
        <v>50000</v>
      </c>
      <c r="J21" s="161">
        <v>500000</v>
      </c>
      <c r="K21" s="161">
        <v>50000</v>
      </c>
      <c r="L21" s="161">
        <v>290000</v>
      </c>
      <c r="M21" s="161">
        <v>50000</v>
      </c>
      <c r="N21" s="161">
        <v>50000</v>
      </c>
      <c r="O21" s="161"/>
      <c r="P21" s="161"/>
      <c r="Q21" s="161"/>
      <c r="R21" s="161"/>
      <c r="S21" s="161">
        <v>50000</v>
      </c>
      <c r="T21" s="161">
        <v>50000</v>
      </c>
      <c r="U21" s="161"/>
      <c r="V21" s="161">
        <v>50000</v>
      </c>
      <c r="W21" s="161">
        <v>1010000</v>
      </c>
      <c r="X21" s="161">
        <v>50000</v>
      </c>
      <c r="Y21" s="161"/>
      <c r="Z21" s="161"/>
      <c r="AA21" s="161"/>
      <c r="AB21" s="161"/>
      <c r="AC21" s="161">
        <v>370000</v>
      </c>
      <c r="AD21" s="161"/>
      <c r="AE21" s="161">
        <v>50000</v>
      </c>
      <c r="AF21" s="161">
        <v>530000</v>
      </c>
      <c r="AG21" s="161">
        <v>50000</v>
      </c>
      <c r="AH21" s="161"/>
      <c r="AI21" s="161"/>
      <c r="AJ21" s="142"/>
      <c r="AK21" s="141">
        <f aca="true" t="shared" si="3" ref="AK21:AK26">COUNTIF(D21:AI21,"&gt;0")</f>
        <v>19</v>
      </c>
      <c r="AL21" s="27"/>
      <c r="AM21" s="22">
        <f t="shared" si="1"/>
        <v>178947.36842105264</v>
      </c>
    </row>
    <row r="22" spans="2:39" ht="15">
      <c r="B22" s="120" t="s">
        <v>252</v>
      </c>
      <c r="C22" s="94">
        <f t="shared" si="0"/>
        <v>2250000</v>
      </c>
      <c r="D22" s="161"/>
      <c r="E22" s="161"/>
      <c r="F22" s="161"/>
      <c r="G22" s="161"/>
      <c r="H22" s="161"/>
      <c r="I22" s="161">
        <v>50000</v>
      </c>
      <c r="J22" s="161">
        <v>50000</v>
      </c>
      <c r="K22" s="161"/>
      <c r="L22" s="161"/>
      <c r="M22" s="161"/>
      <c r="N22" s="161"/>
      <c r="O22" s="161"/>
      <c r="P22" s="161"/>
      <c r="Q22" s="161"/>
      <c r="R22" s="161">
        <v>50000</v>
      </c>
      <c r="S22" s="161">
        <v>50000</v>
      </c>
      <c r="T22" s="161">
        <v>50000</v>
      </c>
      <c r="U22" s="161"/>
      <c r="V22" s="161"/>
      <c r="W22" s="161">
        <v>50000</v>
      </c>
      <c r="X22" s="161">
        <v>50000</v>
      </c>
      <c r="Y22" s="161"/>
      <c r="Z22" s="161">
        <v>50000</v>
      </c>
      <c r="AA22" s="161">
        <v>50000</v>
      </c>
      <c r="AB22" s="161">
        <v>50000</v>
      </c>
      <c r="AC22" s="161">
        <v>50000</v>
      </c>
      <c r="AD22" s="161"/>
      <c r="AE22" s="161"/>
      <c r="AF22" s="161"/>
      <c r="AG22" s="161">
        <v>50000</v>
      </c>
      <c r="AH22" s="161">
        <v>1650000</v>
      </c>
      <c r="AI22" s="161"/>
      <c r="AJ22" s="142"/>
      <c r="AK22" s="141">
        <f t="shared" si="3"/>
        <v>13</v>
      </c>
      <c r="AM22" s="22">
        <f t="shared" si="1"/>
        <v>173076.92307692306</v>
      </c>
    </row>
    <row r="23" spans="2:39" ht="15">
      <c r="B23" s="120" t="s">
        <v>227</v>
      </c>
      <c r="C23" s="94">
        <f t="shared" si="0"/>
        <v>2180000</v>
      </c>
      <c r="D23" s="161">
        <v>50000</v>
      </c>
      <c r="E23" s="161"/>
      <c r="F23" s="161"/>
      <c r="G23" s="161"/>
      <c r="H23" s="161"/>
      <c r="I23" s="161"/>
      <c r="J23" s="161"/>
      <c r="K23" s="161"/>
      <c r="L23" s="161">
        <v>530000</v>
      </c>
      <c r="M23" s="161">
        <v>50000</v>
      </c>
      <c r="N23" s="161"/>
      <c r="O23" s="161"/>
      <c r="P23" s="161"/>
      <c r="Q23" s="161">
        <v>530000</v>
      </c>
      <c r="R23" s="161"/>
      <c r="S23" s="161">
        <v>50000</v>
      </c>
      <c r="T23" s="161"/>
      <c r="U23" s="161"/>
      <c r="V23" s="161"/>
      <c r="W23" s="161"/>
      <c r="X23" s="161"/>
      <c r="Y23" s="161"/>
      <c r="Z23" s="161"/>
      <c r="AA23" s="161">
        <v>50000</v>
      </c>
      <c r="AB23" s="161">
        <v>50000</v>
      </c>
      <c r="AC23" s="161"/>
      <c r="AD23" s="161">
        <v>50000</v>
      </c>
      <c r="AE23" s="161"/>
      <c r="AF23" s="161">
        <v>770000</v>
      </c>
      <c r="AG23" s="161">
        <v>50000</v>
      </c>
      <c r="AH23" s="161"/>
      <c r="AI23" s="161"/>
      <c r="AJ23" s="142"/>
      <c r="AK23" s="141">
        <f t="shared" si="3"/>
        <v>10</v>
      </c>
      <c r="AM23" s="22">
        <f t="shared" si="1"/>
        <v>218000</v>
      </c>
    </row>
    <row r="24" spans="2:39" ht="15">
      <c r="B24" s="120" t="s">
        <v>242</v>
      </c>
      <c r="C24" s="94">
        <f t="shared" si="0"/>
        <v>1970000</v>
      </c>
      <c r="D24" s="161"/>
      <c r="E24" s="161"/>
      <c r="F24" s="161"/>
      <c r="G24" s="161"/>
      <c r="H24" s="161"/>
      <c r="I24" s="161">
        <v>50000</v>
      </c>
      <c r="J24" s="161">
        <v>300000</v>
      </c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>
        <v>770000</v>
      </c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>
        <v>850000</v>
      </c>
      <c r="AI24" s="161"/>
      <c r="AJ24" s="142"/>
      <c r="AK24" s="141">
        <f t="shared" si="3"/>
        <v>4</v>
      </c>
      <c r="AM24" s="22">
        <f t="shared" si="1"/>
        <v>492500</v>
      </c>
    </row>
    <row r="25" spans="2:39" ht="15">
      <c r="B25" s="120" t="s">
        <v>328</v>
      </c>
      <c r="C25" s="94">
        <f t="shared" si="0"/>
        <v>1870000</v>
      </c>
      <c r="D25" s="161">
        <v>50000</v>
      </c>
      <c r="E25" s="161"/>
      <c r="F25" s="161"/>
      <c r="G25" s="161">
        <v>50000</v>
      </c>
      <c r="H25" s="161">
        <v>410000</v>
      </c>
      <c r="I25" s="161"/>
      <c r="J25" s="161"/>
      <c r="K25" s="161"/>
      <c r="L25" s="161"/>
      <c r="M25" s="161"/>
      <c r="N25" s="161">
        <v>1010000</v>
      </c>
      <c r="O25" s="161"/>
      <c r="P25" s="161"/>
      <c r="Q25" s="161"/>
      <c r="R25" s="161"/>
      <c r="S25" s="161"/>
      <c r="T25" s="161">
        <v>50000</v>
      </c>
      <c r="U25" s="161">
        <v>50000</v>
      </c>
      <c r="V25" s="161">
        <v>50000</v>
      </c>
      <c r="W25" s="161">
        <v>50000</v>
      </c>
      <c r="X25" s="161">
        <v>50000</v>
      </c>
      <c r="Y25" s="161"/>
      <c r="Z25" s="161"/>
      <c r="AA25" s="161"/>
      <c r="AB25" s="161"/>
      <c r="AC25" s="161">
        <v>50000</v>
      </c>
      <c r="AD25" s="161">
        <v>50000</v>
      </c>
      <c r="AE25" s="161"/>
      <c r="AF25" s="161"/>
      <c r="AG25" s="161"/>
      <c r="AH25" s="161"/>
      <c r="AI25" s="161"/>
      <c r="AJ25" s="143"/>
      <c r="AK25" s="141">
        <f t="shared" si="3"/>
        <v>11</v>
      </c>
      <c r="AM25" s="22">
        <f t="shared" si="1"/>
        <v>170000</v>
      </c>
    </row>
    <row r="26" spans="2:39" ht="15">
      <c r="B26" s="120" t="s">
        <v>225</v>
      </c>
      <c r="C26" s="94">
        <f t="shared" si="0"/>
        <v>1850000</v>
      </c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>
        <v>1250000</v>
      </c>
      <c r="Q26" s="161">
        <v>50000</v>
      </c>
      <c r="R26" s="161"/>
      <c r="S26" s="161">
        <v>50000</v>
      </c>
      <c r="T26" s="161">
        <v>50000</v>
      </c>
      <c r="U26" s="161">
        <v>50000</v>
      </c>
      <c r="V26" s="161"/>
      <c r="W26" s="161"/>
      <c r="X26" s="161">
        <v>50000</v>
      </c>
      <c r="Y26" s="161">
        <v>50000</v>
      </c>
      <c r="Z26" s="161"/>
      <c r="AA26" s="161">
        <v>50000</v>
      </c>
      <c r="AB26" s="161">
        <v>50000</v>
      </c>
      <c r="AC26" s="161">
        <v>50000</v>
      </c>
      <c r="AD26" s="161">
        <v>50000</v>
      </c>
      <c r="AE26" s="161">
        <v>50000</v>
      </c>
      <c r="AF26" s="161">
        <v>50000</v>
      </c>
      <c r="AG26" s="161"/>
      <c r="AH26" s="161"/>
      <c r="AI26" s="161"/>
      <c r="AJ26" s="142"/>
      <c r="AK26" s="141">
        <f t="shared" si="3"/>
        <v>13</v>
      </c>
      <c r="AM26" s="22">
        <f t="shared" si="1"/>
        <v>142307.6923076923</v>
      </c>
    </row>
    <row r="28" spans="2:35" s="107" customFormat="1" ht="12.75">
      <c r="B28" s="107" t="s">
        <v>57</v>
      </c>
      <c r="C28" s="108"/>
      <c r="D28" s="108">
        <f aca="true" t="shared" si="4" ref="D28:AI28">SUM(D3:D26)</f>
        <v>15050000</v>
      </c>
      <c r="E28" s="108">
        <f t="shared" si="4"/>
        <v>5550000</v>
      </c>
      <c r="F28" s="108">
        <f t="shared" si="4"/>
        <v>5750000</v>
      </c>
      <c r="G28" s="108">
        <f t="shared" si="4"/>
        <v>6050000</v>
      </c>
      <c r="H28" s="108">
        <f t="shared" si="4"/>
        <v>7060000</v>
      </c>
      <c r="I28" s="108">
        <f t="shared" si="4"/>
        <v>7400000</v>
      </c>
      <c r="J28" s="108">
        <f t="shared" si="4"/>
        <v>4725000</v>
      </c>
      <c r="K28" s="108">
        <f t="shared" si="4"/>
        <v>7160000</v>
      </c>
      <c r="L28" s="108">
        <f t="shared" si="4"/>
        <v>7060000</v>
      </c>
      <c r="M28" s="108">
        <f t="shared" si="4"/>
        <v>7160000</v>
      </c>
      <c r="N28" s="108">
        <f t="shared" si="4"/>
        <v>9180000</v>
      </c>
      <c r="O28" s="108">
        <f t="shared" si="4"/>
        <v>6610000</v>
      </c>
      <c r="P28" s="108">
        <f t="shared" si="4"/>
        <v>5170000</v>
      </c>
      <c r="Q28" s="108">
        <f t="shared" si="4"/>
        <v>8980000</v>
      </c>
      <c r="R28" s="108">
        <f t="shared" si="4"/>
        <v>6860000</v>
      </c>
      <c r="S28" s="108">
        <f t="shared" si="4"/>
        <v>7210000</v>
      </c>
      <c r="T28" s="108">
        <f t="shared" si="4"/>
        <v>7210000</v>
      </c>
      <c r="U28" s="108">
        <f t="shared" si="4"/>
        <v>7210000</v>
      </c>
      <c r="V28" s="108">
        <f t="shared" si="4"/>
        <v>9180000</v>
      </c>
      <c r="W28" s="108">
        <f t="shared" si="4"/>
        <v>7160000</v>
      </c>
      <c r="X28" s="108">
        <f t="shared" si="4"/>
        <v>7260000</v>
      </c>
      <c r="Y28" s="108">
        <f t="shared" si="4"/>
        <v>7310000</v>
      </c>
      <c r="Z28" s="108">
        <f t="shared" si="4"/>
        <v>6960000</v>
      </c>
      <c r="AA28" s="108">
        <f t="shared" si="4"/>
        <v>7800000</v>
      </c>
      <c r="AB28" s="108">
        <f t="shared" si="4"/>
        <v>6000000</v>
      </c>
      <c r="AC28" s="108">
        <f t="shared" si="4"/>
        <v>8850000</v>
      </c>
      <c r="AD28" s="108">
        <f t="shared" si="4"/>
        <v>7110000</v>
      </c>
      <c r="AE28" s="108">
        <f t="shared" si="4"/>
        <v>7160000</v>
      </c>
      <c r="AF28" s="108">
        <f t="shared" si="4"/>
        <v>6650000</v>
      </c>
      <c r="AG28" s="108">
        <f t="shared" si="4"/>
        <v>7160000</v>
      </c>
      <c r="AH28" s="108">
        <f t="shared" si="4"/>
        <v>8450000</v>
      </c>
      <c r="AI28" s="108">
        <f t="shared" si="4"/>
        <v>6910000</v>
      </c>
    </row>
    <row r="30" spans="4:13" ht="15">
      <c r="D30" s="28"/>
      <c r="E30" s="28"/>
      <c r="F30" s="28"/>
      <c r="G30" s="28"/>
      <c r="H30" s="28"/>
      <c r="I30" s="28"/>
      <c r="J30" s="28"/>
      <c r="K30" s="28"/>
      <c r="L30" s="28"/>
      <c r="M30" s="28"/>
    </row>
  </sheetData>
  <sheetProtection/>
  <printOptions horizontalCentered="1" verticalCentered="1"/>
  <pageMargins left="0.4330708661417323" right="0.4330708661417323" top="0.5511811023622047" bottom="0.5511811023622047" header="0.31496062992125984" footer="0.31496062992125984"/>
  <pageSetup orientation="landscape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4" sqref="A4:H15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4" customFormat="1" ht="43.5" customHeight="1">
      <c r="B1" s="374" t="s">
        <v>84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2:14" s="4" customFormat="1" ht="29.25" customHeight="1">
      <c r="B2" s="375" t="s">
        <v>281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52</v>
      </c>
      <c r="F3" s="63" t="s">
        <v>6</v>
      </c>
      <c r="G3" s="64" t="s">
        <v>5</v>
      </c>
      <c r="H3" s="65" t="s">
        <v>51</v>
      </c>
      <c r="I3" s="66"/>
      <c r="J3" s="138" t="s">
        <v>6</v>
      </c>
      <c r="K3" s="134"/>
      <c r="L3" s="135"/>
      <c r="M3" s="136" t="s">
        <v>5</v>
      </c>
      <c r="N3" s="137" t="s">
        <v>4</v>
      </c>
    </row>
    <row r="4" spans="1:14" s="73" customFormat="1" ht="18" customHeight="1">
      <c r="A4" s="120" t="s">
        <v>58</v>
      </c>
      <c r="B4" s="160">
        <v>7.2</v>
      </c>
      <c r="C4" s="71">
        <v>34</v>
      </c>
      <c r="D4" s="77">
        <v>32</v>
      </c>
      <c r="E4" s="70"/>
      <c r="F4" s="71">
        <v>1</v>
      </c>
      <c r="G4" s="68">
        <v>10</v>
      </c>
      <c r="H4" s="72">
        <f>N4+I4</f>
        <v>1550000</v>
      </c>
      <c r="I4" s="85">
        <f>IF(E4&gt;0,$N$13,0)+IF(C4&gt;0,50000,0)+IF(C12&lt;0,50000,0)</f>
        <v>50000</v>
      </c>
      <c r="J4" s="87" t="s">
        <v>8</v>
      </c>
      <c r="K4" s="88"/>
      <c r="L4" s="89"/>
      <c r="M4" s="78">
        <v>10</v>
      </c>
      <c r="N4" s="72">
        <f>N12*25%</f>
        <v>1500000</v>
      </c>
    </row>
    <row r="5" spans="1:14" s="73" customFormat="1" ht="18" customHeight="1">
      <c r="A5" s="120" t="s">
        <v>119</v>
      </c>
      <c r="B5" s="160">
        <v>12</v>
      </c>
      <c r="C5" s="74">
        <v>31</v>
      </c>
      <c r="D5" s="77">
        <v>34</v>
      </c>
      <c r="E5" s="70"/>
      <c r="F5" s="71">
        <v>2</v>
      </c>
      <c r="G5" s="71">
        <v>8</v>
      </c>
      <c r="H5" s="72">
        <f aca="true" t="shared" si="0" ref="H5:H11">N5+I5</f>
        <v>1250000</v>
      </c>
      <c r="I5" s="85">
        <f aca="true" t="shared" si="1" ref="I5:I11">IF(E5&gt;0,$N$13,0)+IF(C5&gt;0,50000,0)+IF(C13&lt;0,50000,0)</f>
        <v>50000</v>
      </c>
      <c r="J5" s="90" t="s">
        <v>9</v>
      </c>
      <c r="K5" s="91"/>
      <c r="L5" s="92"/>
      <c r="M5" s="75">
        <v>8</v>
      </c>
      <c r="N5" s="72">
        <f>N12*20%</f>
        <v>1200000</v>
      </c>
    </row>
    <row r="6" spans="1:14" s="73" customFormat="1" ht="18" customHeight="1">
      <c r="A6" s="120" t="s">
        <v>109</v>
      </c>
      <c r="B6" s="160">
        <v>15.7</v>
      </c>
      <c r="C6" s="76">
        <v>31</v>
      </c>
      <c r="D6" s="69">
        <v>31</v>
      </c>
      <c r="E6" s="70"/>
      <c r="F6" s="76">
        <v>3</v>
      </c>
      <c r="G6" s="76">
        <v>6</v>
      </c>
      <c r="H6" s="72">
        <f t="shared" si="0"/>
        <v>950000</v>
      </c>
      <c r="I6" s="85">
        <f t="shared" si="1"/>
        <v>50000</v>
      </c>
      <c r="J6" s="90" t="s">
        <v>10</v>
      </c>
      <c r="K6" s="91"/>
      <c r="L6" s="92"/>
      <c r="M6" s="75">
        <v>6</v>
      </c>
      <c r="N6" s="72">
        <f>N12*15%</f>
        <v>900000</v>
      </c>
    </row>
    <row r="7" spans="1:18" s="73" customFormat="1" ht="18" customHeight="1">
      <c r="A7" s="120" t="s">
        <v>110</v>
      </c>
      <c r="B7" s="160">
        <v>15.8</v>
      </c>
      <c r="C7" s="77">
        <v>30</v>
      </c>
      <c r="D7" s="69">
        <v>42</v>
      </c>
      <c r="E7" s="174"/>
      <c r="F7" s="71">
        <v>4</v>
      </c>
      <c r="G7" s="71">
        <v>5</v>
      </c>
      <c r="H7" s="72">
        <f t="shared" si="0"/>
        <v>770000</v>
      </c>
      <c r="I7" s="85">
        <f t="shared" si="1"/>
        <v>50000</v>
      </c>
      <c r="J7" s="90" t="s">
        <v>11</v>
      </c>
      <c r="K7" s="91"/>
      <c r="L7" s="92"/>
      <c r="M7" s="75">
        <v>5</v>
      </c>
      <c r="N7" s="72">
        <f>N12*12%</f>
        <v>720000</v>
      </c>
      <c r="O7" s="79"/>
      <c r="P7" s="79"/>
      <c r="Q7" s="79"/>
      <c r="R7" s="80"/>
    </row>
    <row r="8" spans="1:14" s="73" customFormat="1" ht="18" customHeight="1">
      <c r="A8" s="120" t="s">
        <v>59</v>
      </c>
      <c r="B8" s="160">
        <v>17.8</v>
      </c>
      <c r="C8" s="74">
        <v>29</v>
      </c>
      <c r="D8" s="69">
        <v>38</v>
      </c>
      <c r="E8" s="70">
        <v>6.3</v>
      </c>
      <c r="F8" s="71">
        <v>5</v>
      </c>
      <c r="G8" s="71">
        <v>4</v>
      </c>
      <c r="H8" s="72">
        <f t="shared" si="0"/>
        <v>1010000</v>
      </c>
      <c r="I8" s="85">
        <f t="shared" si="1"/>
        <v>410000</v>
      </c>
      <c r="J8" s="90" t="s">
        <v>12</v>
      </c>
      <c r="K8" s="91"/>
      <c r="L8" s="92"/>
      <c r="M8" s="75">
        <v>4</v>
      </c>
      <c r="N8" s="72">
        <f>N12*10%</f>
        <v>600000</v>
      </c>
    </row>
    <row r="9" spans="1:14" s="73" customFormat="1" ht="18" customHeight="1">
      <c r="A9" s="120" t="s">
        <v>115</v>
      </c>
      <c r="B9" s="160">
        <v>14.1</v>
      </c>
      <c r="C9" s="74">
        <v>27</v>
      </c>
      <c r="D9" s="69">
        <v>31</v>
      </c>
      <c r="E9" s="174"/>
      <c r="F9" s="81">
        <v>6</v>
      </c>
      <c r="G9" s="81">
        <v>3</v>
      </c>
      <c r="H9" s="72">
        <f t="shared" si="0"/>
        <v>530000</v>
      </c>
      <c r="I9" s="85">
        <f t="shared" si="1"/>
        <v>50000</v>
      </c>
      <c r="J9" s="90" t="s">
        <v>13</v>
      </c>
      <c r="K9" s="91"/>
      <c r="L9" s="92"/>
      <c r="M9" s="75">
        <v>3</v>
      </c>
      <c r="N9" s="72">
        <f>N12*8%</f>
        <v>480000</v>
      </c>
    </row>
    <row r="10" spans="1:14" s="73" customFormat="1" ht="18" customHeight="1">
      <c r="A10" s="120" t="s">
        <v>75</v>
      </c>
      <c r="B10" s="160">
        <v>15.9</v>
      </c>
      <c r="C10" s="74">
        <v>27</v>
      </c>
      <c r="D10" s="69">
        <v>39</v>
      </c>
      <c r="E10" s="174"/>
      <c r="F10" s="71">
        <v>7</v>
      </c>
      <c r="G10" s="71">
        <v>2</v>
      </c>
      <c r="H10" s="72">
        <f t="shared" si="0"/>
        <v>410000</v>
      </c>
      <c r="I10" s="85">
        <f t="shared" si="1"/>
        <v>50000</v>
      </c>
      <c r="J10" s="90" t="s">
        <v>14</v>
      </c>
      <c r="K10" s="91"/>
      <c r="L10" s="92"/>
      <c r="M10" s="75">
        <v>2</v>
      </c>
      <c r="N10" s="72">
        <f>N12*6%</f>
        <v>360000</v>
      </c>
    </row>
    <row r="11" spans="1:14" s="73" customFormat="1" ht="18" customHeight="1">
      <c r="A11" s="120" t="s">
        <v>74</v>
      </c>
      <c r="B11" s="160">
        <v>17.2</v>
      </c>
      <c r="C11" s="71">
        <v>27</v>
      </c>
      <c r="D11" s="69">
        <v>36</v>
      </c>
      <c r="E11" s="174"/>
      <c r="F11" s="71">
        <v>8</v>
      </c>
      <c r="G11" s="71">
        <v>1</v>
      </c>
      <c r="H11" s="72">
        <f t="shared" si="0"/>
        <v>290000</v>
      </c>
      <c r="I11" s="85">
        <f t="shared" si="1"/>
        <v>50000</v>
      </c>
      <c r="J11" s="90" t="s">
        <v>15</v>
      </c>
      <c r="K11" s="91"/>
      <c r="L11" s="92"/>
      <c r="M11" s="75">
        <v>1</v>
      </c>
      <c r="N11" s="72">
        <f>N12*4%</f>
        <v>240000</v>
      </c>
    </row>
    <row r="12" spans="1:14" s="73" customFormat="1" ht="18" customHeight="1">
      <c r="A12" s="120" t="s">
        <v>71</v>
      </c>
      <c r="B12" s="160">
        <v>6.4</v>
      </c>
      <c r="C12" s="68">
        <v>26</v>
      </c>
      <c r="D12" s="77">
        <v>31</v>
      </c>
      <c r="E12" s="70"/>
      <c r="F12" s="68"/>
      <c r="G12" s="71"/>
      <c r="H12" s="72">
        <f>I12</f>
        <v>50000</v>
      </c>
      <c r="I12" s="85">
        <f>IF(E12&gt;0,$N$13,0)+IF(C12&gt;0,50000,0)+IF(C12&lt;0,50000,0)</f>
        <v>50000</v>
      </c>
      <c r="J12" s="93" t="s">
        <v>3</v>
      </c>
      <c r="K12" s="91"/>
      <c r="L12" s="92"/>
      <c r="M12" s="75"/>
      <c r="N12" s="82">
        <v>6000000</v>
      </c>
    </row>
    <row r="13" spans="1:14" s="73" customFormat="1" ht="18" customHeight="1">
      <c r="A13" s="120" t="s">
        <v>118</v>
      </c>
      <c r="B13" s="160">
        <v>22</v>
      </c>
      <c r="C13" s="71">
        <v>25</v>
      </c>
      <c r="D13" s="69">
        <v>39</v>
      </c>
      <c r="E13" s="174"/>
      <c r="F13" s="71"/>
      <c r="G13" s="71"/>
      <c r="H13" s="72">
        <f aca="true" t="shared" si="2" ref="H13:H27">I13</f>
        <v>50000</v>
      </c>
      <c r="I13" s="85">
        <f aca="true" t="shared" si="3" ref="I13:I27">IF(E13&gt;0,$N$13,0)+IF(C13&gt;0,50000,0)+IF(C13&lt;0,50000,0)</f>
        <v>50000</v>
      </c>
      <c r="J13" s="122" t="s">
        <v>62</v>
      </c>
      <c r="K13" s="123"/>
      <c r="L13" s="124"/>
      <c r="M13" s="125">
        <v>1</v>
      </c>
      <c r="N13" s="126">
        <f>N10</f>
        <v>360000</v>
      </c>
    </row>
    <row r="14" spans="1:14" s="73" customFormat="1" ht="18" customHeight="1">
      <c r="A14" s="120" t="s">
        <v>61</v>
      </c>
      <c r="B14" s="160">
        <v>21.9</v>
      </c>
      <c r="C14" s="71">
        <v>21</v>
      </c>
      <c r="D14" s="69">
        <v>38</v>
      </c>
      <c r="E14" s="70"/>
      <c r="F14" s="71"/>
      <c r="G14" s="71"/>
      <c r="H14" s="72">
        <f t="shared" si="2"/>
        <v>50000</v>
      </c>
      <c r="I14" s="85">
        <f t="shared" si="3"/>
        <v>50000</v>
      </c>
      <c r="J14" s="131"/>
      <c r="K14" s="123"/>
      <c r="L14" s="123"/>
      <c r="M14" s="132"/>
      <c r="N14" s="133"/>
    </row>
    <row r="15" spans="1:14" s="73" customFormat="1" ht="18" customHeight="1">
      <c r="A15" s="120" t="s">
        <v>60</v>
      </c>
      <c r="B15" s="160">
        <v>7.8</v>
      </c>
      <c r="C15" s="71">
        <v>19</v>
      </c>
      <c r="D15" s="74">
        <v>36</v>
      </c>
      <c r="E15" s="70"/>
      <c r="F15" s="71"/>
      <c r="G15" s="71"/>
      <c r="H15" s="72">
        <f t="shared" si="2"/>
        <v>50000</v>
      </c>
      <c r="I15" s="85">
        <f t="shared" si="3"/>
        <v>50000</v>
      </c>
      <c r="J15" s="127"/>
      <c r="K15" s="128"/>
      <c r="L15" s="128"/>
      <c r="M15" s="129"/>
      <c r="N15" s="130"/>
    </row>
    <row r="16" spans="1:9" s="73" customFormat="1" ht="18" customHeight="1">
      <c r="A16" s="120"/>
      <c r="B16" s="160"/>
      <c r="C16" s="76"/>
      <c r="D16" s="77"/>
      <c r="E16" s="70"/>
      <c r="F16" s="76"/>
      <c r="G16" s="76"/>
      <c r="H16" s="72">
        <f t="shared" si="2"/>
        <v>0</v>
      </c>
      <c r="I16" s="85">
        <f t="shared" si="3"/>
        <v>0</v>
      </c>
    </row>
    <row r="17" spans="1:13" s="73" customFormat="1" ht="18" customHeight="1">
      <c r="A17" s="120"/>
      <c r="B17" s="160"/>
      <c r="C17" s="71"/>
      <c r="D17" s="69"/>
      <c r="E17" s="70"/>
      <c r="F17" s="76"/>
      <c r="G17" s="76"/>
      <c r="H17" s="72">
        <f t="shared" si="2"/>
        <v>0</v>
      </c>
      <c r="I17" s="85">
        <f t="shared" si="3"/>
        <v>0</v>
      </c>
      <c r="J17" s="79"/>
      <c r="K17" s="79"/>
      <c r="L17" s="79"/>
      <c r="M17" s="80"/>
    </row>
    <row r="18" spans="1:13" s="73" customFormat="1" ht="18" customHeight="1">
      <c r="A18" s="120"/>
      <c r="B18" s="160"/>
      <c r="C18" s="74"/>
      <c r="D18" s="77"/>
      <c r="E18" s="70"/>
      <c r="F18" s="71"/>
      <c r="G18" s="71"/>
      <c r="H18" s="72">
        <f t="shared" si="2"/>
        <v>0</v>
      </c>
      <c r="I18" s="85">
        <f t="shared" si="3"/>
        <v>0</v>
      </c>
      <c r="J18" s="80"/>
      <c r="K18" s="80"/>
      <c r="L18" s="80"/>
      <c r="M18" s="80"/>
    </row>
    <row r="19" spans="1:13" s="73" customFormat="1" ht="18" customHeight="1">
      <c r="A19" s="120"/>
      <c r="B19" s="160"/>
      <c r="C19" s="71"/>
      <c r="D19" s="69"/>
      <c r="E19" s="70"/>
      <c r="F19" s="71"/>
      <c r="G19" s="71"/>
      <c r="H19" s="72">
        <f t="shared" si="2"/>
        <v>0</v>
      </c>
      <c r="I19" s="85">
        <f t="shared" si="3"/>
        <v>0</v>
      </c>
      <c r="J19" s="80"/>
      <c r="K19" s="80"/>
      <c r="L19" s="80"/>
      <c r="M19" s="80"/>
    </row>
    <row r="20" spans="1:9" s="4" customFormat="1" ht="18" customHeight="1">
      <c r="A20" s="120"/>
      <c r="B20" s="160"/>
      <c r="C20" s="71"/>
      <c r="D20" s="69"/>
      <c r="E20" s="70"/>
      <c r="F20" s="76"/>
      <c r="G20" s="76"/>
      <c r="H20" s="72">
        <f t="shared" si="2"/>
        <v>0</v>
      </c>
      <c r="I20" s="85">
        <f t="shared" si="3"/>
        <v>0</v>
      </c>
    </row>
    <row r="21" spans="1:9" s="4" customFormat="1" ht="18" customHeight="1">
      <c r="A21" s="120"/>
      <c r="B21" s="160"/>
      <c r="C21" s="71"/>
      <c r="D21" s="77"/>
      <c r="E21" s="70"/>
      <c r="F21" s="76"/>
      <c r="G21" s="76"/>
      <c r="H21" s="72">
        <f t="shared" si="2"/>
        <v>0</v>
      </c>
      <c r="I21" s="85">
        <f t="shared" si="3"/>
        <v>0</v>
      </c>
    </row>
    <row r="22" spans="1:9" s="4" customFormat="1" ht="18" customHeight="1">
      <c r="A22" s="120"/>
      <c r="B22" s="160"/>
      <c r="C22" s="71"/>
      <c r="D22" s="69"/>
      <c r="E22" s="70"/>
      <c r="F22" s="76"/>
      <c r="G22" s="76"/>
      <c r="H22" s="72">
        <f t="shared" si="2"/>
        <v>0</v>
      </c>
      <c r="I22" s="85">
        <f t="shared" si="3"/>
        <v>0</v>
      </c>
    </row>
    <row r="23" spans="1:9" s="4" customFormat="1" ht="18" customHeight="1">
      <c r="A23" s="120"/>
      <c r="B23" s="160"/>
      <c r="C23" s="71"/>
      <c r="D23" s="69"/>
      <c r="E23" s="174"/>
      <c r="F23" s="76"/>
      <c r="G23" s="76"/>
      <c r="H23" s="72">
        <f t="shared" si="2"/>
        <v>0</v>
      </c>
      <c r="I23" s="85">
        <f t="shared" si="3"/>
        <v>0</v>
      </c>
    </row>
    <row r="24" spans="1:9" s="4" customFormat="1" ht="18" customHeight="1">
      <c r="A24" s="120"/>
      <c r="B24" s="160"/>
      <c r="C24" s="71"/>
      <c r="D24" s="77"/>
      <c r="E24" s="70"/>
      <c r="F24" s="76"/>
      <c r="G24" s="76"/>
      <c r="H24" s="72">
        <f t="shared" si="2"/>
        <v>0</v>
      </c>
      <c r="I24" s="85">
        <f t="shared" si="3"/>
        <v>0</v>
      </c>
    </row>
    <row r="25" spans="1:9" s="4" customFormat="1" ht="18" customHeight="1">
      <c r="A25" s="120"/>
      <c r="B25" s="160"/>
      <c r="C25" s="71"/>
      <c r="D25" s="69"/>
      <c r="E25" s="174"/>
      <c r="F25" s="76"/>
      <c r="G25" s="76"/>
      <c r="H25" s="72">
        <f t="shared" si="2"/>
        <v>0</v>
      </c>
      <c r="I25" s="85">
        <f t="shared" si="3"/>
        <v>0</v>
      </c>
    </row>
    <row r="26" spans="1:9" s="4" customFormat="1" ht="18" customHeight="1">
      <c r="A26" s="120"/>
      <c r="B26" s="160"/>
      <c r="C26" s="71"/>
      <c r="D26" s="77"/>
      <c r="E26" s="174"/>
      <c r="F26" s="71"/>
      <c r="G26" s="71"/>
      <c r="H26" s="72">
        <f t="shared" si="2"/>
        <v>0</v>
      </c>
      <c r="I26" s="85">
        <f t="shared" si="3"/>
        <v>0</v>
      </c>
    </row>
    <row r="27" spans="1:9" s="4" customFormat="1" ht="18" customHeight="1">
      <c r="A27" s="120"/>
      <c r="B27" s="160"/>
      <c r="C27" s="74"/>
      <c r="D27" s="69"/>
      <c r="E27" s="70"/>
      <c r="F27" s="71"/>
      <c r="G27" s="71"/>
      <c r="H27" s="72">
        <f t="shared" si="2"/>
        <v>0</v>
      </c>
      <c r="I27" s="85">
        <f t="shared" si="3"/>
        <v>0</v>
      </c>
    </row>
    <row r="28" spans="1:9" ht="24" customHeight="1" thickBot="1">
      <c r="A28" s="1"/>
      <c r="B28" s="2"/>
      <c r="C28" s="3"/>
      <c r="D28" s="172">
        <f>SUM(D4:D27)</f>
        <v>427</v>
      </c>
      <c r="E28" s="3"/>
      <c r="F28" s="2"/>
      <c r="G28" s="167">
        <f>SUM(G4:G27)</f>
        <v>39</v>
      </c>
      <c r="H28" s="167">
        <f>SUM(H4:H27)</f>
        <v>6960000</v>
      </c>
      <c r="I28" s="86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4330708661417323" right="0.4330708661417323" top="0.5511811023622047" bottom="0.5511811023622047" header="0.31496062992125984" footer="0.31496062992125984"/>
  <pageSetup fitToHeight="1" fitToWidth="1" orientation="landscape" paperSize="9" scale="88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28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4" customFormat="1" ht="43.5" customHeight="1">
      <c r="B1" s="374" t="s">
        <v>330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2:14" s="4" customFormat="1" ht="29.25" customHeight="1">
      <c r="B2" s="375" t="s">
        <v>269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52</v>
      </c>
      <c r="F3" s="63" t="s">
        <v>6</v>
      </c>
      <c r="G3" s="64" t="s">
        <v>5</v>
      </c>
      <c r="H3" s="65" t="s">
        <v>51</v>
      </c>
      <c r="I3" s="66"/>
      <c r="J3" s="138" t="s">
        <v>6</v>
      </c>
      <c r="K3" s="134"/>
      <c r="L3" s="135"/>
      <c r="M3" s="136" t="s">
        <v>5</v>
      </c>
      <c r="N3" s="137" t="s">
        <v>4</v>
      </c>
    </row>
    <row r="4" spans="1:14" s="73" customFormat="1" ht="18" customHeight="1">
      <c r="A4" s="120" t="s">
        <v>59</v>
      </c>
      <c r="B4" s="160">
        <v>17.8</v>
      </c>
      <c r="C4" s="74">
        <v>34</v>
      </c>
      <c r="D4" s="69">
        <v>35</v>
      </c>
      <c r="E4" s="70"/>
      <c r="F4" s="71">
        <v>1</v>
      </c>
      <c r="G4" s="68">
        <v>10</v>
      </c>
      <c r="H4" s="72">
        <f>N4+I4</f>
        <v>1300000</v>
      </c>
      <c r="I4" s="85">
        <f>IF(E4&gt;0,$N$13,0)+IF(C4&gt;0,50000,0)+IF(C12&lt;0,50000,0)</f>
        <v>50000</v>
      </c>
      <c r="J4" s="87" t="s">
        <v>8</v>
      </c>
      <c r="K4" s="88"/>
      <c r="L4" s="89"/>
      <c r="M4" s="78">
        <v>10</v>
      </c>
      <c r="N4" s="72">
        <f>N12*25%</f>
        <v>1250000</v>
      </c>
    </row>
    <row r="5" spans="1:14" s="73" customFormat="1" ht="18" customHeight="1">
      <c r="A5" s="120" t="s">
        <v>109</v>
      </c>
      <c r="B5" s="160">
        <v>15.7</v>
      </c>
      <c r="C5" s="76">
        <v>31</v>
      </c>
      <c r="D5" s="69">
        <v>37</v>
      </c>
      <c r="E5" s="70"/>
      <c r="F5" s="71">
        <v>2</v>
      </c>
      <c r="G5" s="71">
        <v>8</v>
      </c>
      <c r="H5" s="72">
        <f aca="true" t="shared" si="0" ref="H5:H11">N5+I5</f>
        <v>1050000</v>
      </c>
      <c r="I5" s="85">
        <f aca="true" t="shared" si="1" ref="I5:I11">IF(E5&gt;0,$N$13,0)+IF(C5&gt;0,50000,0)+IF(C13&lt;0,50000,0)</f>
        <v>50000</v>
      </c>
      <c r="J5" s="90" t="s">
        <v>9</v>
      </c>
      <c r="K5" s="91"/>
      <c r="L5" s="92"/>
      <c r="M5" s="75">
        <v>8</v>
      </c>
      <c r="N5" s="72">
        <f>N12*20%</f>
        <v>1000000</v>
      </c>
    </row>
    <row r="6" spans="1:14" s="73" customFormat="1" ht="18" customHeight="1">
      <c r="A6" s="120" t="s">
        <v>58</v>
      </c>
      <c r="B6" s="160">
        <v>7.2</v>
      </c>
      <c r="C6" s="71">
        <v>29</v>
      </c>
      <c r="D6" s="77">
        <v>33</v>
      </c>
      <c r="E6" s="174"/>
      <c r="F6" s="76">
        <v>3</v>
      </c>
      <c r="G6" s="76">
        <v>6</v>
      </c>
      <c r="H6" s="72">
        <f t="shared" si="0"/>
        <v>800000</v>
      </c>
      <c r="I6" s="85">
        <f t="shared" si="1"/>
        <v>50000</v>
      </c>
      <c r="J6" s="90" t="s">
        <v>10</v>
      </c>
      <c r="K6" s="91"/>
      <c r="L6" s="92"/>
      <c r="M6" s="75">
        <v>6</v>
      </c>
      <c r="N6" s="72">
        <f>N12*15%</f>
        <v>750000</v>
      </c>
    </row>
    <row r="7" spans="1:18" s="73" customFormat="1" ht="18" customHeight="1">
      <c r="A7" s="120" t="s">
        <v>71</v>
      </c>
      <c r="B7" s="160">
        <v>6.4</v>
      </c>
      <c r="C7" s="68">
        <v>28</v>
      </c>
      <c r="D7" s="77">
        <v>34</v>
      </c>
      <c r="E7" s="174" t="s">
        <v>271</v>
      </c>
      <c r="F7" s="71">
        <v>4</v>
      </c>
      <c r="G7" s="71">
        <v>5</v>
      </c>
      <c r="H7" s="72">
        <f t="shared" si="0"/>
        <v>950000</v>
      </c>
      <c r="I7" s="85">
        <f t="shared" si="1"/>
        <v>350000</v>
      </c>
      <c r="J7" s="90" t="s">
        <v>11</v>
      </c>
      <c r="K7" s="91"/>
      <c r="L7" s="92"/>
      <c r="M7" s="75">
        <v>5</v>
      </c>
      <c r="N7" s="72">
        <f>N12*12%</f>
        <v>600000</v>
      </c>
      <c r="O7" s="79"/>
      <c r="P7" s="79"/>
      <c r="Q7" s="79"/>
      <c r="R7" s="80"/>
    </row>
    <row r="8" spans="1:14" s="73" customFormat="1" ht="18" customHeight="1">
      <c r="A8" s="120" t="s">
        <v>115</v>
      </c>
      <c r="B8" s="160">
        <v>14.1</v>
      </c>
      <c r="C8" s="74">
        <v>28</v>
      </c>
      <c r="D8" s="69">
        <v>39</v>
      </c>
      <c r="E8" s="70"/>
      <c r="F8" s="71">
        <v>5</v>
      </c>
      <c r="G8" s="71">
        <v>4</v>
      </c>
      <c r="H8" s="72">
        <f t="shared" si="0"/>
        <v>550000</v>
      </c>
      <c r="I8" s="85">
        <f t="shared" si="1"/>
        <v>50000</v>
      </c>
      <c r="J8" s="90" t="s">
        <v>12</v>
      </c>
      <c r="K8" s="91"/>
      <c r="L8" s="92"/>
      <c r="M8" s="75">
        <v>4</v>
      </c>
      <c r="N8" s="72">
        <f>N12*10%</f>
        <v>500000</v>
      </c>
    </row>
    <row r="9" spans="1:14" s="73" customFormat="1" ht="18" customHeight="1">
      <c r="A9" s="120" t="s">
        <v>74</v>
      </c>
      <c r="B9" s="160">
        <v>17.2</v>
      </c>
      <c r="C9" s="71">
        <v>28</v>
      </c>
      <c r="D9" s="69">
        <v>35</v>
      </c>
      <c r="E9" s="70"/>
      <c r="F9" s="81">
        <v>6</v>
      </c>
      <c r="G9" s="81">
        <v>3</v>
      </c>
      <c r="H9" s="72">
        <f t="shared" si="0"/>
        <v>450000</v>
      </c>
      <c r="I9" s="85">
        <f t="shared" si="1"/>
        <v>50000</v>
      </c>
      <c r="J9" s="90" t="s">
        <v>13</v>
      </c>
      <c r="K9" s="91"/>
      <c r="L9" s="92"/>
      <c r="M9" s="75">
        <v>3</v>
      </c>
      <c r="N9" s="72">
        <f>N12*8%</f>
        <v>400000</v>
      </c>
    </row>
    <row r="10" spans="1:14" s="73" customFormat="1" ht="18" customHeight="1">
      <c r="A10" s="120" t="s">
        <v>77</v>
      </c>
      <c r="B10" s="160">
        <v>22.8</v>
      </c>
      <c r="C10" s="71">
        <v>28</v>
      </c>
      <c r="D10" s="77">
        <v>40</v>
      </c>
      <c r="E10" s="70" t="s">
        <v>272</v>
      </c>
      <c r="F10" s="71">
        <v>7</v>
      </c>
      <c r="G10" s="71">
        <v>2</v>
      </c>
      <c r="H10" s="72">
        <f t="shared" si="0"/>
        <v>950000</v>
      </c>
      <c r="I10" s="85">
        <f>IF(E10&gt;0,$N$13*2,0)+IF(C10&gt;0,50000,0)+IF(C18&lt;0,50000,0)</f>
        <v>650000</v>
      </c>
      <c r="J10" s="90" t="s">
        <v>14</v>
      </c>
      <c r="K10" s="91"/>
      <c r="L10" s="92"/>
      <c r="M10" s="75">
        <v>2</v>
      </c>
      <c r="N10" s="72">
        <f>N12*6%</f>
        <v>300000</v>
      </c>
    </row>
    <row r="11" spans="1:14" s="73" customFormat="1" ht="18" customHeight="1">
      <c r="A11" s="120" t="s">
        <v>73</v>
      </c>
      <c r="B11" s="160">
        <v>14.8</v>
      </c>
      <c r="C11" s="71">
        <v>27</v>
      </c>
      <c r="D11" s="69">
        <v>40</v>
      </c>
      <c r="E11" s="70" t="s">
        <v>271</v>
      </c>
      <c r="F11" s="71">
        <v>8</v>
      </c>
      <c r="G11" s="71">
        <v>1</v>
      </c>
      <c r="H11" s="72">
        <f t="shared" si="0"/>
        <v>550000</v>
      </c>
      <c r="I11" s="85">
        <f t="shared" si="1"/>
        <v>350000</v>
      </c>
      <c r="J11" s="90" t="s">
        <v>15</v>
      </c>
      <c r="K11" s="91"/>
      <c r="L11" s="92"/>
      <c r="M11" s="75">
        <v>1</v>
      </c>
      <c r="N11" s="72">
        <f>N12*4%</f>
        <v>200000</v>
      </c>
    </row>
    <row r="12" spans="1:14" s="73" customFormat="1" ht="18" customHeight="1">
      <c r="A12" s="120" t="s">
        <v>65</v>
      </c>
      <c r="B12" s="160">
        <v>10.4</v>
      </c>
      <c r="C12" s="76">
        <v>26</v>
      </c>
      <c r="D12" s="77">
        <v>33</v>
      </c>
      <c r="E12" s="174"/>
      <c r="F12" s="68"/>
      <c r="G12" s="71"/>
      <c r="H12" s="72">
        <f>I12</f>
        <v>50000</v>
      </c>
      <c r="I12" s="85">
        <f>IF(E12&gt;0,$N$13,0)+IF(C12&gt;0,50000,0)+IF(C12&lt;0,50000,0)</f>
        <v>50000</v>
      </c>
      <c r="J12" s="93" t="s">
        <v>3</v>
      </c>
      <c r="K12" s="91"/>
      <c r="L12" s="92"/>
      <c r="M12" s="75"/>
      <c r="N12" s="82">
        <v>5000000</v>
      </c>
    </row>
    <row r="13" spans="1:14" s="73" customFormat="1" ht="18" customHeight="1">
      <c r="A13" s="120" t="s">
        <v>76</v>
      </c>
      <c r="B13" s="160">
        <v>13.1</v>
      </c>
      <c r="C13" s="71">
        <v>24</v>
      </c>
      <c r="D13" s="69">
        <v>37</v>
      </c>
      <c r="E13" s="70"/>
      <c r="F13" s="71"/>
      <c r="G13" s="71"/>
      <c r="H13" s="72">
        <f aca="true" t="shared" si="2" ref="H13:H27">I13</f>
        <v>50000</v>
      </c>
      <c r="I13" s="85">
        <f aca="true" t="shared" si="3" ref="I13:I27">IF(E13&gt;0,$N$13,0)+IF(C13&gt;0,50000,0)+IF(C13&lt;0,50000,0)</f>
        <v>50000</v>
      </c>
      <c r="J13" s="122" t="s">
        <v>62</v>
      </c>
      <c r="K13" s="123"/>
      <c r="L13" s="124"/>
      <c r="M13" s="125">
        <v>1</v>
      </c>
      <c r="N13" s="126">
        <f>N10</f>
        <v>300000</v>
      </c>
    </row>
    <row r="14" spans="1:14" s="73" customFormat="1" ht="18" customHeight="1">
      <c r="A14" s="120" t="s">
        <v>111</v>
      </c>
      <c r="B14" s="160">
        <v>13.6</v>
      </c>
      <c r="C14" s="71">
        <v>24</v>
      </c>
      <c r="D14" s="69">
        <v>35</v>
      </c>
      <c r="E14" s="70"/>
      <c r="F14" s="71"/>
      <c r="G14" s="71"/>
      <c r="H14" s="72">
        <f t="shared" si="2"/>
        <v>50000</v>
      </c>
      <c r="I14" s="85">
        <f t="shared" si="3"/>
        <v>50000</v>
      </c>
      <c r="J14" s="131"/>
      <c r="K14" s="123"/>
      <c r="L14" s="123"/>
      <c r="M14" s="132"/>
      <c r="N14" s="133"/>
    </row>
    <row r="15" spans="1:14" s="73" customFormat="1" ht="18" customHeight="1">
      <c r="A15" s="120" t="s">
        <v>60</v>
      </c>
      <c r="B15" s="160">
        <v>7.8</v>
      </c>
      <c r="C15" s="71">
        <v>22</v>
      </c>
      <c r="D15" s="74">
        <v>38</v>
      </c>
      <c r="E15" s="70"/>
      <c r="F15" s="71"/>
      <c r="G15" s="71"/>
      <c r="H15" s="72">
        <f t="shared" si="2"/>
        <v>50000</v>
      </c>
      <c r="I15" s="85">
        <f t="shared" si="3"/>
        <v>50000</v>
      </c>
      <c r="J15" s="127"/>
      <c r="K15" s="128"/>
      <c r="L15" s="128"/>
      <c r="M15" s="129"/>
      <c r="N15" s="130"/>
    </row>
    <row r="16" spans="1:9" s="73" customFormat="1" ht="18" customHeight="1">
      <c r="A16" s="120" t="s">
        <v>119</v>
      </c>
      <c r="B16" s="160">
        <v>12</v>
      </c>
      <c r="C16" s="74">
        <v>22</v>
      </c>
      <c r="D16" s="77">
        <v>38</v>
      </c>
      <c r="E16" s="174" t="s">
        <v>270</v>
      </c>
      <c r="F16" s="76"/>
      <c r="G16" s="76"/>
      <c r="H16" s="72">
        <f t="shared" si="2"/>
        <v>350000</v>
      </c>
      <c r="I16" s="85">
        <f t="shared" si="3"/>
        <v>350000</v>
      </c>
    </row>
    <row r="17" spans="1:18" s="73" customFormat="1" ht="18" customHeight="1">
      <c r="A17" s="120" t="s">
        <v>110</v>
      </c>
      <c r="B17" s="160">
        <v>15.8</v>
      </c>
      <c r="C17" s="77">
        <v>20</v>
      </c>
      <c r="D17" s="69">
        <v>44</v>
      </c>
      <c r="E17" s="70" t="s">
        <v>271</v>
      </c>
      <c r="F17" s="76"/>
      <c r="G17" s="76"/>
      <c r="H17" s="72">
        <f t="shared" si="2"/>
        <v>350000</v>
      </c>
      <c r="I17" s="85">
        <f t="shared" si="3"/>
        <v>350000</v>
      </c>
      <c r="O17" s="79"/>
      <c r="P17" s="79"/>
      <c r="Q17" s="79"/>
      <c r="R17" s="80"/>
    </row>
    <row r="18" spans="1:13" s="73" customFormat="1" ht="18" customHeight="1">
      <c r="A18" s="120" t="s">
        <v>72</v>
      </c>
      <c r="B18" s="160">
        <v>17.4</v>
      </c>
      <c r="C18" s="71">
        <v>20</v>
      </c>
      <c r="D18" s="69">
        <v>38</v>
      </c>
      <c r="E18" s="70"/>
      <c r="F18" s="71"/>
      <c r="G18" s="71"/>
      <c r="H18" s="72">
        <f t="shared" si="2"/>
        <v>50000</v>
      </c>
      <c r="I18" s="85">
        <f t="shared" si="3"/>
        <v>50000</v>
      </c>
      <c r="J18" s="80"/>
      <c r="K18" s="80"/>
      <c r="L18" s="80"/>
      <c r="M18" s="80"/>
    </row>
    <row r="19" spans="1:13" s="73" customFormat="1" ht="18" customHeight="1">
      <c r="A19" s="120" t="s">
        <v>61</v>
      </c>
      <c r="B19" s="160">
        <v>21.9</v>
      </c>
      <c r="C19" s="71">
        <v>19</v>
      </c>
      <c r="D19" s="69">
        <v>40</v>
      </c>
      <c r="E19" s="70"/>
      <c r="F19" s="71"/>
      <c r="G19" s="71"/>
      <c r="H19" s="72">
        <f t="shared" si="2"/>
        <v>50000</v>
      </c>
      <c r="I19" s="85">
        <f t="shared" si="3"/>
        <v>50000</v>
      </c>
      <c r="J19" s="80"/>
      <c r="K19" s="80"/>
      <c r="L19" s="80"/>
      <c r="M19" s="80"/>
    </row>
    <row r="20" spans="1:9" s="4" customFormat="1" ht="18" customHeight="1">
      <c r="A20" s="120" t="s">
        <v>117</v>
      </c>
      <c r="B20" s="160">
        <v>13.2</v>
      </c>
      <c r="C20" s="74">
        <v>17</v>
      </c>
      <c r="D20" s="77">
        <v>43</v>
      </c>
      <c r="E20" s="174"/>
      <c r="F20" s="76"/>
      <c r="G20" s="76"/>
      <c r="H20" s="72">
        <f t="shared" si="2"/>
        <v>50000</v>
      </c>
      <c r="I20" s="85">
        <f t="shared" si="3"/>
        <v>50000</v>
      </c>
    </row>
    <row r="21" spans="1:9" s="4" customFormat="1" ht="18" customHeight="1">
      <c r="A21" s="120" t="s">
        <v>70</v>
      </c>
      <c r="B21" s="160">
        <v>16.7</v>
      </c>
      <c r="C21" s="71">
        <v>17</v>
      </c>
      <c r="D21" s="69">
        <v>43</v>
      </c>
      <c r="E21" s="70"/>
      <c r="F21" s="76"/>
      <c r="G21" s="76"/>
      <c r="H21" s="72">
        <f t="shared" si="2"/>
        <v>50000</v>
      </c>
      <c r="I21" s="85">
        <f t="shared" si="3"/>
        <v>50000</v>
      </c>
    </row>
    <row r="22" spans="1:9" s="4" customFormat="1" ht="18" customHeight="1">
      <c r="A22" s="120" t="s">
        <v>75</v>
      </c>
      <c r="B22" s="160">
        <v>15.9</v>
      </c>
      <c r="C22" s="74">
        <v>16</v>
      </c>
      <c r="D22" s="69">
        <v>43</v>
      </c>
      <c r="E22" s="70"/>
      <c r="F22" s="76"/>
      <c r="G22" s="76"/>
      <c r="H22" s="72">
        <f t="shared" si="2"/>
        <v>50000</v>
      </c>
      <c r="I22" s="85">
        <f t="shared" si="3"/>
        <v>50000</v>
      </c>
    </row>
    <row r="23" spans="1:9" s="4" customFormat="1" ht="18" customHeight="1">
      <c r="A23" s="120" t="s">
        <v>118</v>
      </c>
      <c r="B23" s="160">
        <v>22</v>
      </c>
      <c r="C23" s="71">
        <v>15</v>
      </c>
      <c r="D23" s="69">
        <v>47</v>
      </c>
      <c r="E23" s="70"/>
      <c r="F23" s="76"/>
      <c r="G23" s="76"/>
      <c r="H23" s="72">
        <f t="shared" si="2"/>
        <v>50000</v>
      </c>
      <c r="I23" s="85">
        <f t="shared" si="3"/>
        <v>50000</v>
      </c>
    </row>
    <row r="24" spans="1:9" s="4" customFormat="1" ht="18" customHeight="1">
      <c r="A24" s="120"/>
      <c r="B24" s="160"/>
      <c r="C24" s="71"/>
      <c r="D24" s="77"/>
      <c r="E24" s="174"/>
      <c r="F24" s="76"/>
      <c r="G24" s="76"/>
      <c r="H24" s="72">
        <f t="shared" si="2"/>
        <v>0</v>
      </c>
      <c r="I24" s="85">
        <f t="shared" si="3"/>
        <v>0</v>
      </c>
    </row>
    <row r="25" spans="1:9" s="4" customFormat="1" ht="18" customHeight="1">
      <c r="A25" s="120"/>
      <c r="B25" s="160"/>
      <c r="C25" s="71"/>
      <c r="D25" s="77"/>
      <c r="E25" s="174"/>
      <c r="F25" s="76"/>
      <c r="G25" s="76"/>
      <c r="H25" s="72">
        <f t="shared" si="2"/>
        <v>0</v>
      </c>
      <c r="I25" s="85">
        <f t="shared" si="3"/>
        <v>0</v>
      </c>
    </row>
    <row r="26" spans="1:9" s="4" customFormat="1" ht="18" customHeight="1">
      <c r="A26" s="120"/>
      <c r="B26" s="160"/>
      <c r="C26" s="74"/>
      <c r="D26" s="69"/>
      <c r="E26" s="70"/>
      <c r="F26" s="71"/>
      <c r="G26" s="71"/>
      <c r="H26" s="72">
        <f t="shared" si="2"/>
        <v>0</v>
      </c>
      <c r="I26" s="85">
        <f t="shared" si="3"/>
        <v>0</v>
      </c>
    </row>
    <row r="27" spans="1:9" s="4" customFormat="1" ht="18" customHeight="1">
      <c r="A27" s="120"/>
      <c r="B27" s="160"/>
      <c r="C27" s="71"/>
      <c r="D27" s="69"/>
      <c r="E27" s="70"/>
      <c r="F27" s="71"/>
      <c r="G27" s="71"/>
      <c r="H27" s="72">
        <f t="shared" si="2"/>
        <v>0</v>
      </c>
      <c r="I27" s="85">
        <f t="shared" si="3"/>
        <v>0</v>
      </c>
    </row>
    <row r="28" spans="1:9" ht="24" customHeight="1" thickBot="1">
      <c r="A28" s="1"/>
      <c r="B28" s="2"/>
      <c r="C28" s="3"/>
      <c r="D28" s="172">
        <f>SUM(D4:D27)</f>
        <v>772</v>
      </c>
      <c r="E28" s="3"/>
      <c r="F28" s="2"/>
      <c r="G28" s="167">
        <f>SUM(G4:G27)</f>
        <v>39</v>
      </c>
      <c r="H28" s="167">
        <f>SUM(H4:H27)</f>
        <v>7800000</v>
      </c>
      <c r="I28" s="86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4330708661417323" right="0.4330708661417323" top="0.5511811023622047" bottom="0.5511811023622047" header="0.31496062992125984" footer="0.31496062992125984"/>
  <pageSetup fitToHeight="1" fitToWidth="1" orientation="landscape" paperSize="9" scale="88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28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4" customFormat="1" ht="43.5" customHeight="1">
      <c r="B1" s="374" t="s">
        <v>330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2:14" s="4" customFormat="1" ht="29.25" customHeight="1">
      <c r="B2" s="375" t="s">
        <v>268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52</v>
      </c>
      <c r="F3" s="63" t="s">
        <v>6</v>
      </c>
      <c r="G3" s="64" t="s">
        <v>5</v>
      </c>
      <c r="H3" s="65" t="s">
        <v>51</v>
      </c>
      <c r="I3" s="66"/>
      <c r="J3" s="138" t="s">
        <v>6</v>
      </c>
      <c r="K3" s="134"/>
      <c r="L3" s="135"/>
      <c r="M3" s="136" t="s">
        <v>5</v>
      </c>
      <c r="N3" s="137" t="s">
        <v>4</v>
      </c>
    </row>
    <row r="4" spans="1:14" s="73" customFormat="1" ht="18" customHeight="1">
      <c r="A4" s="120" t="s">
        <v>77</v>
      </c>
      <c r="B4" s="160">
        <v>22.8</v>
      </c>
      <c r="C4" s="71">
        <v>32</v>
      </c>
      <c r="D4" s="77">
        <v>38</v>
      </c>
      <c r="E4" s="70"/>
      <c r="F4" s="71">
        <v>1</v>
      </c>
      <c r="G4" s="68">
        <v>10</v>
      </c>
      <c r="H4" s="72">
        <f>N4+I4</f>
        <v>1300000</v>
      </c>
      <c r="I4" s="85">
        <f>IF(E4&gt;0,$N$13,0)+IF(C4&gt;0,50000,0)+IF(C12&lt;0,50000,0)</f>
        <v>50000</v>
      </c>
      <c r="J4" s="87" t="s">
        <v>8</v>
      </c>
      <c r="K4" s="88"/>
      <c r="L4" s="89"/>
      <c r="M4" s="78">
        <v>10</v>
      </c>
      <c r="N4" s="72">
        <f>N12*25%</f>
        <v>1250000</v>
      </c>
    </row>
    <row r="5" spans="1:14" s="73" customFormat="1" ht="18" customHeight="1">
      <c r="A5" s="120" t="s">
        <v>109</v>
      </c>
      <c r="B5" s="160">
        <v>15.7</v>
      </c>
      <c r="C5" s="76">
        <v>30</v>
      </c>
      <c r="D5" s="69">
        <v>38</v>
      </c>
      <c r="E5" s="70"/>
      <c r="F5" s="71">
        <v>2</v>
      </c>
      <c r="G5" s="71">
        <v>8</v>
      </c>
      <c r="H5" s="72">
        <f aca="true" t="shared" si="0" ref="H5:H11">N5+I5</f>
        <v>1050000</v>
      </c>
      <c r="I5" s="85">
        <f aca="true" t="shared" si="1" ref="I5:I11">IF(E5&gt;0,$N$13,0)+IF(C5&gt;0,50000,0)+IF(C13&lt;0,50000,0)</f>
        <v>50000</v>
      </c>
      <c r="J5" s="90" t="s">
        <v>9</v>
      </c>
      <c r="K5" s="91"/>
      <c r="L5" s="92"/>
      <c r="M5" s="75">
        <v>8</v>
      </c>
      <c r="N5" s="72">
        <f>N12*20%</f>
        <v>1000000</v>
      </c>
    </row>
    <row r="6" spans="1:14" s="73" customFormat="1" ht="18" customHeight="1">
      <c r="A6" s="120" t="s">
        <v>58</v>
      </c>
      <c r="B6" s="160">
        <v>7.2</v>
      </c>
      <c r="C6" s="71">
        <v>29</v>
      </c>
      <c r="D6" s="77">
        <v>35</v>
      </c>
      <c r="E6" s="70"/>
      <c r="F6" s="76">
        <v>3</v>
      </c>
      <c r="G6" s="76">
        <v>6</v>
      </c>
      <c r="H6" s="72">
        <f t="shared" si="0"/>
        <v>800000</v>
      </c>
      <c r="I6" s="85">
        <f t="shared" si="1"/>
        <v>50000</v>
      </c>
      <c r="J6" s="90" t="s">
        <v>10</v>
      </c>
      <c r="K6" s="91"/>
      <c r="L6" s="92"/>
      <c r="M6" s="75">
        <v>6</v>
      </c>
      <c r="N6" s="72">
        <f>N12*15%</f>
        <v>750000</v>
      </c>
    </row>
    <row r="7" spans="1:18" s="73" customFormat="1" ht="18" customHeight="1">
      <c r="A7" s="120" t="s">
        <v>119</v>
      </c>
      <c r="B7" s="160">
        <v>12</v>
      </c>
      <c r="C7" s="74">
        <v>29</v>
      </c>
      <c r="D7" s="77">
        <v>36</v>
      </c>
      <c r="E7" s="174"/>
      <c r="F7" s="71">
        <v>4</v>
      </c>
      <c r="G7" s="71">
        <v>5</v>
      </c>
      <c r="H7" s="72">
        <f t="shared" si="0"/>
        <v>650000</v>
      </c>
      <c r="I7" s="85">
        <f t="shared" si="1"/>
        <v>50000</v>
      </c>
      <c r="J7" s="90" t="s">
        <v>11</v>
      </c>
      <c r="K7" s="91"/>
      <c r="L7" s="92"/>
      <c r="M7" s="75">
        <v>5</v>
      </c>
      <c r="N7" s="72">
        <f>N12*12%</f>
        <v>600000</v>
      </c>
      <c r="O7" s="79"/>
      <c r="P7" s="79"/>
      <c r="Q7" s="79"/>
      <c r="R7" s="80"/>
    </row>
    <row r="8" spans="1:14" s="73" customFormat="1" ht="18" customHeight="1">
      <c r="A8" s="120" t="s">
        <v>115</v>
      </c>
      <c r="B8" s="160">
        <v>14.1</v>
      </c>
      <c r="C8" s="74">
        <v>28</v>
      </c>
      <c r="D8" s="69">
        <v>40</v>
      </c>
      <c r="E8" s="70"/>
      <c r="F8" s="71">
        <v>5</v>
      </c>
      <c r="G8" s="71">
        <v>4</v>
      </c>
      <c r="H8" s="72">
        <f t="shared" si="0"/>
        <v>550000</v>
      </c>
      <c r="I8" s="85">
        <f t="shared" si="1"/>
        <v>50000</v>
      </c>
      <c r="J8" s="90" t="s">
        <v>12</v>
      </c>
      <c r="K8" s="91"/>
      <c r="L8" s="92"/>
      <c r="M8" s="75">
        <v>4</v>
      </c>
      <c r="N8" s="72">
        <f>N12*10%</f>
        <v>500000</v>
      </c>
    </row>
    <row r="9" spans="1:14" s="73" customFormat="1" ht="18" customHeight="1">
      <c r="A9" s="120" t="s">
        <v>110</v>
      </c>
      <c r="B9" s="160">
        <v>15.8</v>
      </c>
      <c r="C9" s="77">
        <v>28</v>
      </c>
      <c r="D9" s="69">
        <v>41</v>
      </c>
      <c r="E9" s="174"/>
      <c r="F9" s="81">
        <v>6</v>
      </c>
      <c r="G9" s="81">
        <v>3</v>
      </c>
      <c r="H9" s="72">
        <f t="shared" si="0"/>
        <v>450000</v>
      </c>
      <c r="I9" s="85">
        <f t="shared" si="1"/>
        <v>50000</v>
      </c>
      <c r="J9" s="90" t="s">
        <v>13</v>
      </c>
      <c r="K9" s="91"/>
      <c r="L9" s="92"/>
      <c r="M9" s="75">
        <v>3</v>
      </c>
      <c r="N9" s="72">
        <f>N12*8%</f>
        <v>400000</v>
      </c>
    </row>
    <row r="10" spans="1:14" s="73" customFormat="1" ht="18" customHeight="1">
      <c r="A10" s="120" t="s">
        <v>71</v>
      </c>
      <c r="B10" s="160">
        <v>6.4</v>
      </c>
      <c r="C10" s="68">
        <v>27</v>
      </c>
      <c r="D10" s="77">
        <v>39</v>
      </c>
      <c r="E10" s="174"/>
      <c r="F10" s="71">
        <v>7</v>
      </c>
      <c r="G10" s="71">
        <v>2</v>
      </c>
      <c r="H10" s="72">
        <f t="shared" si="0"/>
        <v>350000</v>
      </c>
      <c r="I10" s="85">
        <f t="shared" si="1"/>
        <v>50000</v>
      </c>
      <c r="J10" s="90" t="s">
        <v>14</v>
      </c>
      <c r="K10" s="91"/>
      <c r="L10" s="92"/>
      <c r="M10" s="75">
        <v>2</v>
      </c>
      <c r="N10" s="72">
        <f>N12*6%</f>
        <v>300000</v>
      </c>
    </row>
    <row r="11" spans="1:14" s="73" customFormat="1" ht="18" customHeight="1">
      <c r="A11" s="120" t="s">
        <v>76</v>
      </c>
      <c r="B11" s="160">
        <v>13.1</v>
      </c>
      <c r="C11" s="71">
        <v>27</v>
      </c>
      <c r="D11" s="69">
        <v>36</v>
      </c>
      <c r="E11" s="174"/>
      <c r="F11" s="71">
        <v>8</v>
      </c>
      <c r="G11" s="71">
        <v>1</v>
      </c>
      <c r="H11" s="72">
        <f t="shared" si="0"/>
        <v>250000</v>
      </c>
      <c r="I11" s="85">
        <f t="shared" si="1"/>
        <v>50000</v>
      </c>
      <c r="J11" s="90" t="s">
        <v>15</v>
      </c>
      <c r="K11" s="91"/>
      <c r="L11" s="92"/>
      <c r="M11" s="75">
        <v>1</v>
      </c>
      <c r="N11" s="72">
        <f>N12*4%</f>
        <v>200000</v>
      </c>
    </row>
    <row r="12" spans="1:14" s="73" customFormat="1" ht="18" customHeight="1">
      <c r="A12" s="120" t="s">
        <v>117</v>
      </c>
      <c r="B12" s="160">
        <v>13.2</v>
      </c>
      <c r="C12" s="74">
        <v>27</v>
      </c>
      <c r="D12" s="77">
        <v>36</v>
      </c>
      <c r="E12" s="70"/>
      <c r="F12" s="68"/>
      <c r="G12" s="71"/>
      <c r="H12" s="72">
        <f>I12</f>
        <v>50000</v>
      </c>
      <c r="I12" s="85">
        <f>IF(E12&gt;0,$N$13,0)+IF(C12&gt;0,50000,0)+IF(C12&lt;0,50000,0)</f>
        <v>50000</v>
      </c>
      <c r="J12" s="93" t="s">
        <v>3</v>
      </c>
      <c r="K12" s="91"/>
      <c r="L12" s="92"/>
      <c r="M12" s="75"/>
      <c r="N12" s="82">
        <v>5000000</v>
      </c>
    </row>
    <row r="13" spans="1:14" s="73" customFormat="1" ht="18" customHeight="1">
      <c r="A13" s="120" t="s">
        <v>111</v>
      </c>
      <c r="B13" s="160">
        <v>13.6</v>
      </c>
      <c r="C13" s="71">
        <v>24</v>
      </c>
      <c r="D13" s="69">
        <v>34</v>
      </c>
      <c r="E13" s="174"/>
      <c r="F13" s="71"/>
      <c r="G13" s="71"/>
      <c r="H13" s="72">
        <f aca="true" t="shared" si="2" ref="H13:H27">I13</f>
        <v>50000</v>
      </c>
      <c r="I13" s="85">
        <f aca="true" t="shared" si="3" ref="I13:I27">IF(E13&gt;0,$N$13,0)+IF(C13&gt;0,50000,0)+IF(C13&lt;0,50000,0)</f>
        <v>50000</v>
      </c>
      <c r="J13" s="122" t="s">
        <v>62</v>
      </c>
      <c r="K13" s="123"/>
      <c r="L13" s="124"/>
      <c r="M13" s="125">
        <v>1</v>
      </c>
      <c r="N13" s="126">
        <f>N10</f>
        <v>300000</v>
      </c>
    </row>
    <row r="14" spans="1:14" s="73" customFormat="1" ht="18" customHeight="1">
      <c r="A14" s="120" t="s">
        <v>70</v>
      </c>
      <c r="B14" s="160">
        <v>16.7</v>
      </c>
      <c r="C14" s="71">
        <v>23</v>
      </c>
      <c r="D14" s="69">
        <v>42</v>
      </c>
      <c r="E14" s="70"/>
      <c r="F14" s="71"/>
      <c r="G14" s="71"/>
      <c r="H14" s="72">
        <f t="shared" si="2"/>
        <v>50000</v>
      </c>
      <c r="I14" s="85">
        <f t="shared" si="3"/>
        <v>50000</v>
      </c>
      <c r="J14" s="131"/>
      <c r="K14" s="123"/>
      <c r="L14" s="123"/>
      <c r="M14" s="132"/>
      <c r="N14" s="133"/>
    </row>
    <row r="15" spans="1:14" s="73" customFormat="1" ht="18" customHeight="1">
      <c r="A15" s="120" t="s">
        <v>61</v>
      </c>
      <c r="B15" s="160">
        <v>21.9</v>
      </c>
      <c r="C15" s="71">
        <v>23</v>
      </c>
      <c r="D15" s="69">
        <v>44</v>
      </c>
      <c r="E15" s="70"/>
      <c r="F15" s="71"/>
      <c r="G15" s="71"/>
      <c r="H15" s="72">
        <f t="shared" si="2"/>
        <v>50000</v>
      </c>
      <c r="I15" s="85">
        <f t="shared" si="3"/>
        <v>50000</v>
      </c>
      <c r="J15" s="127"/>
      <c r="K15" s="128"/>
      <c r="L15" s="128"/>
      <c r="M15" s="129"/>
      <c r="N15" s="130"/>
    </row>
    <row r="16" spans="1:9" s="73" customFormat="1" ht="18" customHeight="1">
      <c r="A16" s="120" t="s">
        <v>65</v>
      </c>
      <c r="B16" s="160">
        <v>10.4</v>
      </c>
      <c r="C16" s="76">
        <v>22</v>
      </c>
      <c r="D16" s="77">
        <v>38</v>
      </c>
      <c r="E16" s="70"/>
      <c r="F16" s="76"/>
      <c r="G16" s="76"/>
      <c r="H16" s="72">
        <f t="shared" si="2"/>
        <v>50000</v>
      </c>
      <c r="I16" s="85">
        <f t="shared" si="3"/>
        <v>50000</v>
      </c>
    </row>
    <row r="17" spans="1:18" s="73" customFormat="1" ht="18" customHeight="1">
      <c r="A17" s="120" t="s">
        <v>73</v>
      </c>
      <c r="B17" s="160">
        <v>14.8</v>
      </c>
      <c r="C17" s="71">
        <v>22</v>
      </c>
      <c r="D17" s="69">
        <v>42</v>
      </c>
      <c r="E17" s="70"/>
      <c r="F17" s="76"/>
      <c r="G17" s="76"/>
      <c r="H17" s="72">
        <f t="shared" si="2"/>
        <v>50000</v>
      </c>
      <c r="I17" s="85">
        <f t="shared" si="3"/>
        <v>50000</v>
      </c>
      <c r="O17" s="79"/>
      <c r="P17" s="79"/>
      <c r="Q17" s="79"/>
      <c r="R17" s="80"/>
    </row>
    <row r="18" spans="1:13" s="73" customFormat="1" ht="18" customHeight="1">
      <c r="A18" s="120" t="s">
        <v>75</v>
      </c>
      <c r="B18" s="160">
        <v>15.9</v>
      </c>
      <c r="C18" s="74">
        <v>22</v>
      </c>
      <c r="D18" s="69">
        <v>38</v>
      </c>
      <c r="E18" s="70"/>
      <c r="F18" s="71"/>
      <c r="G18" s="71"/>
      <c r="H18" s="72">
        <f t="shared" si="2"/>
        <v>50000</v>
      </c>
      <c r="I18" s="85">
        <f t="shared" si="3"/>
        <v>50000</v>
      </c>
      <c r="J18" s="80"/>
      <c r="K18" s="80"/>
      <c r="L18" s="80"/>
      <c r="M18" s="80"/>
    </row>
    <row r="19" spans="1:13" s="73" customFormat="1" ht="18" customHeight="1">
      <c r="A19" s="120" t="s">
        <v>59</v>
      </c>
      <c r="B19" s="160">
        <v>17.8</v>
      </c>
      <c r="C19" s="74">
        <v>22</v>
      </c>
      <c r="D19" s="69">
        <v>34</v>
      </c>
      <c r="E19" s="70"/>
      <c r="F19" s="71"/>
      <c r="G19" s="71"/>
      <c r="H19" s="72">
        <f t="shared" si="2"/>
        <v>50000</v>
      </c>
      <c r="I19" s="85">
        <f t="shared" si="3"/>
        <v>50000</v>
      </c>
      <c r="J19" s="80"/>
      <c r="K19" s="80"/>
      <c r="L19" s="80"/>
      <c r="M19" s="80"/>
    </row>
    <row r="20" spans="1:9" s="4" customFormat="1" ht="18" customHeight="1">
      <c r="A20" s="120" t="s">
        <v>60</v>
      </c>
      <c r="B20" s="160">
        <v>7.8</v>
      </c>
      <c r="C20" s="71">
        <v>19</v>
      </c>
      <c r="D20" s="74">
        <v>38</v>
      </c>
      <c r="E20" s="70"/>
      <c r="F20" s="76"/>
      <c r="G20" s="76"/>
      <c r="H20" s="72">
        <f t="shared" si="2"/>
        <v>50000</v>
      </c>
      <c r="I20" s="85">
        <f t="shared" si="3"/>
        <v>50000</v>
      </c>
    </row>
    <row r="21" spans="1:9" s="4" customFormat="1" ht="18" customHeight="1">
      <c r="A21" s="120" t="s">
        <v>118</v>
      </c>
      <c r="B21" s="160">
        <v>22</v>
      </c>
      <c r="C21" s="71">
        <v>19</v>
      </c>
      <c r="D21" s="69">
        <v>42</v>
      </c>
      <c r="E21" s="70"/>
      <c r="F21" s="76"/>
      <c r="G21" s="76"/>
      <c r="H21" s="72">
        <f t="shared" si="2"/>
        <v>50000</v>
      </c>
      <c r="I21" s="85">
        <f t="shared" si="3"/>
        <v>50000</v>
      </c>
    </row>
    <row r="22" spans="1:9" s="4" customFormat="1" ht="18" customHeight="1">
      <c r="A22" s="120" t="s">
        <v>72</v>
      </c>
      <c r="B22" s="160">
        <v>17.4</v>
      </c>
      <c r="C22" s="71">
        <v>17</v>
      </c>
      <c r="D22" s="69">
        <v>43</v>
      </c>
      <c r="E22" s="70"/>
      <c r="F22" s="76"/>
      <c r="G22" s="76"/>
      <c r="H22" s="72">
        <f t="shared" si="2"/>
        <v>50000</v>
      </c>
      <c r="I22" s="85">
        <f t="shared" si="3"/>
        <v>50000</v>
      </c>
    </row>
    <row r="23" spans="1:9" s="4" customFormat="1" ht="18" customHeight="1">
      <c r="A23" s="120" t="s">
        <v>74</v>
      </c>
      <c r="B23" s="160">
        <v>17.2</v>
      </c>
      <c r="C23" s="71">
        <v>14</v>
      </c>
      <c r="D23" s="69">
        <v>43</v>
      </c>
      <c r="E23" s="174"/>
      <c r="F23" s="76"/>
      <c r="G23" s="76"/>
      <c r="H23" s="72">
        <f t="shared" si="2"/>
        <v>50000</v>
      </c>
      <c r="I23" s="85">
        <f t="shared" si="3"/>
        <v>50000</v>
      </c>
    </row>
    <row r="24" spans="1:9" s="4" customFormat="1" ht="18" customHeight="1">
      <c r="A24" s="120"/>
      <c r="B24" s="160"/>
      <c r="C24" s="71"/>
      <c r="D24" s="77"/>
      <c r="E24" s="70"/>
      <c r="F24" s="76"/>
      <c r="G24" s="76"/>
      <c r="H24" s="72">
        <f t="shared" si="2"/>
        <v>0</v>
      </c>
      <c r="I24" s="85">
        <f t="shared" si="3"/>
        <v>0</v>
      </c>
    </row>
    <row r="25" spans="1:9" s="4" customFormat="1" ht="18" customHeight="1">
      <c r="A25" s="120"/>
      <c r="B25" s="160"/>
      <c r="C25" s="71"/>
      <c r="D25" s="77"/>
      <c r="E25" s="174"/>
      <c r="F25" s="76"/>
      <c r="G25" s="76"/>
      <c r="H25" s="72">
        <f t="shared" si="2"/>
        <v>0</v>
      </c>
      <c r="I25" s="85">
        <f t="shared" si="3"/>
        <v>0</v>
      </c>
    </row>
    <row r="26" spans="1:9" s="4" customFormat="1" ht="18" customHeight="1">
      <c r="A26" s="120"/>
      <c r="B26" s="160"/>
      <c r="C26" s="74"/>
      <c r="D26" s="69"/>
      <c r="E26" s="174"/>
      <c r="F26" s="71"/>
      <c r="G26" s="71"/>
      <c r="H26" s="72">
        <f t="shared" si="2"/>
        <v>0</v>
      </c>
      <c r="I26" s="85">
        <f t="shared" si="3"/>
        <v>0</v>
      </c>
    </row>
    <row r="27" spans="1:9" s="4" customFormat="1" ht="18" customHeight="1">
      <c r="A27" s="120"/>
      <c r="B27" s="160"/>
      <c r="C27" s="71"/>
      <c r="D27" s="69"/>
      <c r="E27" s="70"/>
      <c r="F27" s="71"/>
      <c r="G27" s="71"/>
      <c r="H27" s="72">
        <f t="shared" si="2"/>
        <v>0</v>
      </c>
      <c r="I27" s="85">
        <f t="shared" si="3"/>
        <v>0</v>
      </c>
    </row>
    <row r="28" spans="1:9" ht="24" customHeight="1" thickBot="1">
      <c r="A28" s="1"/>
      <c r="B28" s="2"/>
      <c r="C28" s="3"/>
      <c r="D28" s="172">
        <f>SUM(D4:D27)</f>
        <v>777</v>
      </c>
      <c r="E28" s="3"/>
      <c r="F28" s="2"/>
      <c r="G28" s="167">
        <f>SUM(G4:G27)</f>
        <v>39</v>
      </c>
      <c r="H28" s="167">
        <f>SUM(H4:H27)</f>
        <v>6000000</v>
      </c>
      <c r="I28" s="86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4330708661417323" right="0.4330708661417323" top="0.5511811023622047" bottom="0.5511811023622047" header="0.31496062992125984" footer="0.31496062992125984"/>
  <pageSetup fitToHeight="1" fitToWidth="1" orientation="landscape" paperSize="9" scale="88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N28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4" customFormat="1" ht="43.5" customHeight="1">
      <c r="B1" s="374" t="s">
        <v>83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2:14" s="4" customFormat="1" ht="29.25" customHeight="1">
      <c r="B2" s="375" t="s">
        <v>266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52</v>
      </c>
      <c r="F3" s="63" t="s">
        <v>6</v>
      </c>
      <c r="G3" s="64" t="s">
        <v>5</v>
      </c>
      <c r="H3" s="65" t="s">
        <v>51</v>
      </c>
      <c r="I3" s="66"/>
      <c r="J3" s="138" t="s">
        <v>6</v>
      </c>
      <c r="K3" s="134"/>
      <c r="L3" s="135"/>
      <c r="M3" s="136" t="s">
        <v>5</v>
      </c>
      <c r="N3" s="137" t="s">
        <v>4</v>
      </c>
    </row>
    <row r="4" spans="1:14" s="73" customFormat="1" ht="18" customHeight="1">
      <c r="A4" s="120" t="s">
        <v>75</v>
      </c>
      <c r="B4" s="160">
        <v>15.9</v>
      </c>
      <c r="C4" s="74">
        <v>34</v>
      </c>
      <c r="D4" s="69">
        <v>33</v>
      </c>
      <c r="E4" s="174"/>
      <c r="F4" s="71">
        <v>1</v>
      </c>
      <c r="G4" s="68">
        <v>10</v>
      </c>
      <c r="H4" s="72">
        <f>N4+I4</f>
        <v>2050000</v>
      </c>
      <c r="I4" s="85">
        <f>IF(E4&gt;0,$N$13,0)+IF(C4&gt;0,50000,0)+IF(C12&lt;0,50000,0)</f>
        <v>50000</v>
      </c>
      <c r="J4" s="87" t="s">
        <v>8</v>
      </c>
      <c r="K4" s="88"/>
      <c r="L4" s="89"/>
      <c r="M4" s="78">
        <v>10</v>
      </c>
      <c r="N4" s="72">
        <f>N12*25%</f>
        <v>2000000</v>
      </c>
    </row>
    <row r="5" spans="1:14" s="73" customFormat="1" ht="18" customHeight="1">
      <c r="A5" s="120" t="s">
        <v>77</v>
      </c>
      <c r="B5" s="160">
        <v>22.8</v>
      </c>
      <c r="C5" s="71">
        <v>34</v>
      </c>
      <c r="D5" s="77">
        <v>35</v>
      </c>
      <c r="E5" s="174"/>
      <c r="F5" s="71">
        <v>2</v>
      </c>
      <c r="G5" s="71">
        <v>8</v>
      </c>
      <c r="H5" s="72">
        <f aca="true" t="shared" si="0" ref="H5:H11">N5+I5</f>
        <v>1650000</v>
      </c>
      <c r="I5" s="85">
        <f aca="true" t="shared" si="1" ref="I5:I11">IF(E5&gt;0,$N$13,0)+IF(C5&gt;0,50000,0)+IF(C13&lt;0,50000,0)</f>
        <v>50000</v>
      </c>
      <c r="J5" s="90" t="s">
        <v>9</v>
      </c>
      <c r="K5" s="91"/>
      <c r="L5" s="92"/>
      <c r="M5" s="75">
        <v>8</v>
      </c>
      <c r="N5" s="72">
        <f>N12*20%</f>
        <v>1600000</v>
      </c>
    </row>
    <row r="6" spans="1:14" s="73" customFormat="1" ht="18" customHeight="1">
      <c r="A6" s="120" t="s">
        <v>58</v>
      </c>
      <c r="B6" s="160">
        <v>7.2</v>
      </c>
      <c r="C6" s="71">
        <v>33</v>
      </c>
      <c r="D6" s="69">
        <v>32</v>
      </c>
      <c r="E6" s="70"/>
      <c r="F6" s="76">
        <v>3</v>
      </c>
      <c r="G6" s="76">
        <v>6</v>
      </c>
      <c r="H6" s="72">
        <f t="shared" si="0"/>
        <v>1250000</v>
      </c>
      <c r="I6" s="85">
        <f t="shared" si="1"/>
        <v>50000</v>
      </c>
      <c r="J6" s="90" t="s">
        <v>10</v>
      </c>
      <c r="K6" s="91"/>
      <c r="L6" s="92"/>
      <c r="M6" s="75">
        <v>6</v>
      </c>
      <c r="N6" s="72">
        <f>N12*15%</f>
        <v>1200000</v>
      </c>
    </row>
    <row r="7" spans="1:18" s="73" customFormat="1" ht="18" customHeight="1">
      <c r="A7" s="120" t="s">
        <v>109</v>
      </c>
      <c r="B7" s="160">
        <v>15.7</v>
      </c>
      <c r="C7" s="74">
        <v>33</v>
      </c>
      <c r="D7" s="69">
        <v>33</v>
      </c>
      <c r="E7" s="70"/>
      <c r="F7" s="71">
        <v>4</v>
      </c>
      <c r="G7" s="71">
        <v>5</v>
      </c>
      <c r="H7" s="72">
        <f t="shared" si="0"/>
        <v>1010000</v>
      </c>
      <c r="I7" s="85">
        <f t="shared" si="1"/>
        <v>50000</v>
      </c>
      <c r="J7" s="90" t="s">
        <v>11</v>
      </c>
      <c r="K7" s="91"/>
      <c r="L7" s="92"/>
      <c r="M7" s="75">
        <v>5</v>
      </c>
      <c r="N7" s="72">
        <f>N12*12%</f>
        <v>960000</v>
      </c>
      <c r="O7" s="79"/>
      <c r="P7" s="79"/>
      <c r="Q7" s="79"/>
      <c r="R7" s="80"/>
    </row>
    <row r="8" spans="1:14" s="73" customFormat="1" ht="18" customHeight="1">
      <c r="A8" s="120" t="s">
        <v>61</v>
      </c>
      <c r="B8" s="160">
        <v>21.9</v>
      </c>
      <c r="C8" s="71">
        <v>32</v>
      </c>
      <c r="D8" s="77">
        <v>38</v>
      </c>
      <c r="E8" s="70"/>
      <c r="F8" s="71">
        <v>5</v>
      </c>
      <c r="G8" s="71">
        <v>4</v>
      </c>
      <c r="H8" s="72">
        <f t="shared" si="0"/>
        <v>850000</v>
      </c>
      <c r="I8" s="85">
        <f t="shared" si="1"/>
        <v>50000</v>
      </c>
      <c r="J8" s="90" t="s">
        <v>12</v>
      </c>
      <c r="K8" s="91"/>
      <c r="L8" s="92"/>
      <c r="M8" s="75">
        <v>4</v>
      </c>
      <c r="N8" s="72">
        <f>N12*10%</f>
        <v>800000</v>
      </c>
    </row>
    <row r="9" spans="1:14" s="73" customFormat="1" ht="18" customHeight="1">
      <c r="A9" s="120" t="s">
        <v>71</v>
      </c>
      <c r="B9" s="160">
        <v>6.4</v>
      </c>
      <c r="C9" s="71">
        <v>31</v>
      </c>
      <c r="D9" s="69">
        <v>36</v>
      </c>
      <c r="E9" s="70"/>
      <c r="F9" s="81">
        <v>6</v>
      </c>
      <c r="G9" s="81">
        <v>3</v>
      </c>
      <c r="H9" s="72">
        <f t="shared" si="0"/>
        <v>690000</v>
      </c>
      <c r="I9" s="85">
        <f t="shared" si="1"/>
        <v>50000</v>
      </c>
      <c r="J9" s="90" t="s">
        <v>13</v>
      </c>
      <c r="K9" s="91"/>
      <c r="L9" s="92"/>
      <c r="M9" s="75">
        <v>3</v>
      </c>
      <c r="N9" s="72">
        <f>N12*8%</f>
        <v>640000</v>
      </c>
    </row>
    <row r="10" spans="1:14" s="73" customFormat="1" ht="18" customHeight="1">
      <c r="A10" s="120" t="s">
        <v>59</v>
      </c>
      <c r="B10" s="160">
        <v>17.8</v>
      </c>
      <c r="C10" s="71">
        <v>31</v>
      </c>
      <c r="D10" s="77">
        <v>33</v>
      </c>
      <c r="E10" s="70"/>
      <c r="F10" s="71">
        <v>7</v>
      </c>
      <c r="G10" s="71">
        <v>2</v>
      </c>
      <c r="H10" s="72">
        <f t="shared" si="0"/>
        <v>530000</v>
      </c>
      <c r="I10" s="85">
        <f t="shared" si="1"/>
        <v>50000</v>
      </c>
      <c r="J10" s="90" t="s">
        <v>14</v>
      </c>
      <c r="K10" s="91"/>
      <c r="L10" s="92"/>
      <c r="M10" s="75">
        <v>2</v>
      </c>
      <c r="N10" s="72">
        <f>N12*6%</f>
        <v>480000</v>
      </c>
    </row>
    <row r="11" spans="1:14" s="73" customFormat="1" ht="18" customHeight="1">
      <c r="A11" s="120" t="s">
        <v>66</v>
      </c>
      <c r="B11" s="160">
        <v>24.2</v>
      </c>
      <c r="C11" s="74">
        <v>31</v>
      </c>
      <c r="D11" s="69">
        <v>37</v>
      </c>
      <c r="E11" s="174"/>
      <c r="F11" s="71">
        <v>8</v>
      </c>
      <c r="G11" s="71">
        <v>1</v>
      </c>
      <c r="H11" s="72">
        <f t="shared" si="0"/>
        <v>370000</v>
      </c>
      <c r="I11" s="85">
        <f t="shared" si="1"/>
        <v>50000</v>
      </c>
      <c r="J11" s="90" t="s">
        <v>15</v>
      </c>
      <c r="K11" s="91"/>
      <c r="L11" s="92"/>
      <c r="M11" s="75">
        <v>1</v>
      </c>
      <c r="N11" s="72">
        <f>N12*4%</f>
        <v>320000</v>
      </c>
    </row>
    <row r="12" spans="1:14" s="73" customFormat="1" ht="18" customHeight="1">
      <c r="A12" s="120" t="s">
        <v>78</v>
      </c>
      <c r="B12" s="160">
        <v>13.8</v>
      </c>
      <c r="C12" s="71">
        <v>30</v>
      </c>
      <c r="D12" s="69">
        <v>33</v>
      </c>
      <c r="E12" s="174"/>
      <c r="F12" s="68"/>
      <c r="G12" s="71"/>
      <c r="H12" s="72">
        <f>I12</f>
        <v>50000</v>
      </c>
      <c r="I12" s="85">
        <f>IF(E12&gt;0,$N$13,0)+IF(C12&gt;0,50000,0)+IF(C12&lt;0,50000,0)</f>
        <v>50000</v>
      </c>
      <c r="J12" s="93" t="s">
        <v>3</v>
      </c>
      <c r="K12" s="91"/>
      <c r="L12" s="92"/>
      <c r="M12" s="75"/>
      <c r="N12" s="82">
        <v>8000000</v>
      </c>
    </row>
    <row r="13" spans="1:14" s="73" customFormat="1" ht="18" customHeight="1">
      <c r="A13" s="120" t="s">
        <v>65</v>
      </c>
      <c r="B13" s="160">
        <v>10.4</v>
      </c>
      <c r="C13" s="74">
        <v>29</v>
      </c>
      <c r="D13" s="77">
        <v>30</v>
      </c>
      <c r="E13" s="174"/>
      <c r="F13" s="71"/>
      <c r="G13" s="71"/>
      <c r="H13" s="72">
        <f aca="true" t="shared" si="2" ref="H13:H27">I13</f>
        <v>50000</v>
      </c>
      <c r="I13" s="85">
        <f aca="true" t="shared" si="3" ref="I13:I27">IF(E13&gt;0,$N$13,0)+IF(C13&gt;0,50000,0)+IF(C13&lt;0,50000,0)</f>
        <v>50000</v>
      </c>
      <c r="J13" s="122" t="s">
        <v>62</v>
      </c>
      <c r="K13" s="123"/>
      <c r="L13" s="124"/>
      <c r="M13" s="125">
        <v>1</v>
      </c>
      <c r="N13" s="126">
        <f>N10</f>
        <v>480000</v>
      </c>
    </row>
    <row r="14" spans="1:14" s="73" customFormat="1" ht="18" customHeight="1">
      <c r="A14" s="120" t="s">
        <v>76</v>
      </c>
      <c r="B14" s="160">
        <v>13.1</v>
      </c>
      <c r="C14" s="74">
        <v>28</v>
      </c>
      <c r="D14" s="69">
        <v>33</v>
      </c>
      <c r="E14" s="70"/>
      <c r="F14" s="71"/>
      <c r="G14" s="71"/>
      <c r="H14" s="72">
        <f t="shared" si="2"/>
        <v>50000</v>
      </c>
      <c r="I14" s="85">
        <f t="shared" si="3"/>
        <v>50000</v>
      </c>
      <c r="J14" s="131"/>
      <c r="K14" s="123"/>
      <c r="L14" s="123"/>
      <c r="M14" s="132"/>
      <c r="N14" s="133"/>
    </row>
    <row r="15" spans="1:14" s="73" customFormat="1" ht="18" customHeight="1">
      <c r="A15" s="120" t="s">
        <v>115</v>
      </c>
      <c r="B15" s="160">
        <v>14.1</v>
      </c>
      <c r="C15" s="71">
        <v>28</v>
      </c>
      <c r="D15" s="69">
        <v>33</v>
      </c>
      <c r="E15" s="70"/>
      <c r="F15" s="71"/>
      <c r="G15" s="71"/>
      <c r="H15" s="72">
        <f t="shared" si="2"/>
        <v>50000</v>
      </c>
      <c r="I15" s="85">
        <f t="shared" si="3"/>
        <v>50000</v>
      </c>
      <c r="J15" s="127"/>
      <c r="K15" s="128"/>
      <c r="L15" s="128"/>
      <c r="M15" s="129"/>
      <c r="N15" s="130"/>
    </row>
    <row r="16" spans="1:9" s="73" customFormat="1" ht="18" customHeight="1">
      <c r="A16" s="120" t="s">
        <v>118</v>
      </c>
      <c r="B16" s="160">
        <v>22</v>
      </c>
      <c r="C16" s="71">
        <v>27</v>
      </c>
      <c r="D16" s="69">
        <v>40</v>
      </c>
      <c r="E16" s="70"/>
      <c r="F16" s="76"/>
      <c r="G16" s="76"/>
      <c r="H16" s="72">
        <f t="shared" si="2"/>
        <v>50000</v>
      </c>
      <c r="I16" s="85">
        <f t="shared" si="3"/>
        <v>50000</v>
      </c>
    </row>
    <row r="17" spans="1:13" s="73" customFormat="1" ht="18" customHeight="1">
      <c r="A17" s="120" t="s">
        <v>326</v>
      </c>
      <c r="B17" s="160">
        <v>14.7</v>
      </c>
      <c r="C17" s="71">
        <v>26</v>
      </c>
      <c r="D17" s="69">
        <v>39</v>
      </c>
      <c r="E17" s="70"/>
      <c r="F17" s="76"/>
      <c r="G17" s="76"/>
      <c r="H17" s="72">
        <f t="shared" si="2"/>
        <v>50000</v>
      </c>
      <c r="I17" s="85">
        <f t="shared" si="3"/>
        <v>50000</v>
      </c>
      <c r="J17" s="79"/>
      <c r="K17" s="79"/>
      <c r="L17" s="79"/>
      <c r="M17" s="80"/>
    </row>
    <row r="18" spans="1:13" s="73" customFormat="1" ht="18" customHeight="1">
      <c r="A18" s="120" t="s">
        <v>72</v>
      </c>
      <c r="B18" s="160">
        <v>17.4</v>
      </c>
      <c r="C18" s="76">
        <v>26</v>
      </c>
      <c r="D18" s="77">
        <v>39</v>
      </c>
      <c r="E18" s="70"/>
      <c r="F18" s="71"/>
      <c r="G18" s="71"/>
      <c r="H18" s="72">
        <f t="shared" si="2"/>
        <v>50000</v>
      </c>
      <c r="I18" s="85">
        <f t="shared" si="3"/>
        <v>50000</v>
      </c>
      <c r="J18" s="80"/>
      <c r="K18" s="80"/>
      <c r="L18" s="80"/>
      <c r="M18" s="80"/>
    </row>
    <row r="19" spans="1:13" s="73" customFormat="1" ht="18" customHeight="1">
      <c r="A19" s="120" t="s">
        <v>70</v>
      </c>
      <c r="B19" s="160">
        <v>16.7</v>
      </c>
      <c r="C19" s="76">
        <v>25</v>
      </c>
      <c r="D19" s="69">
        <v>40</v>
      </c>
      <c r="E19" s="70"/>
      <c r="F19" s="71"/>
      <c r="G19" s="71"/>
      <c r="H19" s="72">
        <f t="shared" si="2"/>
        <v>50000</v>
      </c>
      <c r="I19" s="85">
        <f t="shared" si="3"/>
        <v>50000</v>
      </c>
      <c r="J19" s="80"/>
      <c r="K19" s="80"/>
      <c r="L19" s="80"/>
      <c r="M19" s="80"/>
    </row>
    <row r="20" spans="1:9" s="4" customFormat="1" ht="18" customHeight="1">
      <c r="A20" s="120" t="s">
        <v>60</v>
      </c>
      <c r="B20" s="160">
        <v>7.8</v>
      </c>
      <c r="C20" s="71">
        <v>21</v>
      </c>
      <c r="D20" s="77">
        <v>39</v>
      </c>
      <c r="E20" s="70"/>
      <c r="F20" s="76"/>
      <c r="G20" s="76"/>
      <c r="H20" s="72">
        <f t="shared" si="2"/>
        <v>50000</v>
      </c>
      <c r="I20" s="85">
        <f t="shared" si="3"/>
        <v>50000</v>
      </c>
    </row>
    <row r="21" spans="1:9" s="4" customFormat="1" ht="18" customHeight="1">
      <c r="A21" s="120"/>
      <c r="B21" s="160"/>
      <c r="C21" s="74"/>
      <c r="D21" s="77"/>
      <c r="E21" s="174"/>
      <c r="F21" s="76"/>
      <c r="G21" s="76"/>
      <c r="H21" s="72">
        <f t="shared" si="2"/>
        <v>0</v>
      </c>
      <c r="I21" s="85">
        <f t="shared" si="3"/>
        <v>0</v>
      </c>
    </row>
    <row r="22" spans="1:9" s="4" customFormat="1" ht="18" customHeight="1">
      <c r="A22" s="120"/>
      <c r="B22" s="160"/>
      <c r="C22" s="68"/>
      <c r="D22" s="77"/>
      <c r="E22" s="70"/>
      <c r="F22" s="76"/>
      <c r="G22" s="76"/>
      <c r="H22" s="72">
        <f t="shared" si="2"/>
        <v>0</v>
      </c>
      <c r="I22" s="85">
        <f t="shared" si="3"/>
        <v>0</v>
      </c>
    </row>
    <row r="23" spans="1:9" s="4" customFormat="1" ht="18" customHeight="1">
      <c r="A23" s="120"/>
      <c r="B23" s="160"/>
      <c r="C23" s="71"/>
      <c r="D23" s="69"/>
      <c r="E23" s="174"/>
      <c r="F23" s="76"/>
      <c r="G23" s="76"/>
      <c r="H23" s="72">
        <f t="shared" si="2"/>
        <v>0</v>
      </c>
      <c r="I23" s="85">
        <f t="shared" si="3"/>
        <v>0</v>
      </c>
    </row>
    <row r="24" spans="1:9" s="4" customFormat="1" ht="18" customHeight="1">
      <c r="A24" s="120"/>
      <c r="B24" s="160"/>
      <c r="C24" s="71"/>
      <c r="D24" s="69"/>
      <c r="E24" s="70"/>
      <c r="F24" s="76"/>
      <c r="G24" s="76"/>
      <c r="H24" s="72">
        <f t="shared" si="2"/>
        <v>0</v>
      </c>
      <c r="I24" s="85">
        <f t="shared" si="3"/>
        <v>0</v>
      </c>
    </row>
    <row r="25" spans="1:9" s="4" customFormat="1" ht="18" customHeight="1">
      <c r="A25" s="120"/>
      <c r="B25" s="160"/>
      <c r="C25" s="71"/>
      <c r="D25" s="69"/>
      <c r="E25" s="70"/>
      <c r="F25" s="76"/>
      <c r="G25" s="76"/>
      <c r="H25" s="72">
        <f t="shared" si="2"/>
        <v>0</v>
      </c>
      <c r="I25" s="85">
        <f t="shared" si="3"/>
        <v>0</v>
      </c>
    </row>
    <row r="26" spans="1:9" s="4" customFormat="1" ht="18" customHeight="1">
      <c r="A26" s="120"/>
      <c r="B26" s="160"/>
      <c r="C26" s="71"/>
      <c r="D26" s="69"/>
      <c r="E26" s="174"/>
      <c r="F26" s="71"/>
      <c r="G26" s="71"/>
      <c r="H26" s="72">
        <f t="shared" si="2"/>
        <v>0</v>
      </c>
      <c r="I26" s="85">
        <f t="shared" si="3"/>
        <v>0</v>
      </c>
    </row>
    <row r="27" spans="1:9" s="4" customFormat="1" ht="18" customHeight="1">
      <c r="A27" s="120"/>
      <c r="B27" s="160"/>
      <c r="C27" s="77"/>
      <c r="D27" s="69"/>
      <c r="E27" s="70"/>
      <c r="F27" s="71"/>
      <c r="G27" s="71"/>
      <c r="H27" s="72">
        <f t="shared" si="2"/>
        <v>0</v>
      </c>
      <c r="I27" s="85">
        <f t="shared" si="3"/>
        <v>0</v>
      </c>
    </row>
    <row r="28" spans="1:9" ht="24" customHeight="1" thickBot="1">
      <c r="A28" s="1"/>
      <c r="B28" s="2"/>
      <c r="C28" s="3"/>
      <c r="D28" s="172">
        <f>SUM(D4:D27)</f>
        <v>603</v>
      </c>
      <c r="E28" s="3"/>
      <c r="F28" s="2"/>
      <c r="G28" s="167">
        <f>SUM(G4:G27)</f>
        <v>39</v>
      </c>
      <c r="H28" s="167">
        <f>SUM(H4:H27)</f>
        <v>8850000</v>
      </c>
      <c r="I28" s="86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4330708661417323" right="0.4330708661417323" top="0.5511811023622047" bottom="0.5511811023622047" header="0.31496062992125984" footer="0.31496062992125984"/>
  <pageSetup fitToHeight="1" fitToWidth="1" orientation="landscape" paperSize="9" scale="88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T9" sqref="T9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4" customFormat="1" ht="43.5" customHeight="1">
      <c r="B1" s="374" t="s">
        <v>82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2:14" s="4" customFormat="1" ht="29.25" customHeight="1">
      <c r="B2" s="375" t="s">
        <v>122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52</v>
      </c>
      <c r="F3" s="63" t="s">
        <v>6</v>
      </c>
      <c r="G3" s="64" t="s">
        <v>5</v>
      </c>
      <c r="H3" s="65" t="s">
        <v>51</v>
      </c>
      <c r="I3" s="66"/>
      <c r="J3" s="138" t="s">
        <v>6</v>
      </c>
      <c r="K3" s="134"/>
      <c r="L3" s="135"/>
      <c r="M3" s="136" t="s">
        <v>5</v>
      </c>
      <c r="N3" s="137" t="s">
        <v>4</v>
      </c>
    </row>
    <row r="4" spans="1:14" s="73" customFormat="1" ht="18" customHeight="1">
      <c r="A4" s="120" t="s">
        <v>58</v>
      </c>
      <c r="B4" s="160">
        <v>7.2</v>
      </c>
      <c r="C4" s="71">
        <v>34</v>
      </c>
      <c r="D4" s="69">
        <v>32</v>
      </c>
      <c r="E4" s="77"/>
      <c r="F4" s="71">
        <v>1</v>
      </c>
      <c r="G4" s="68">
        <v>10</v>
      </c>
      <c r="H4" s="72">
        <f>N4+I4</f>
        <v>1550000</v>
      </c>
      <c r="I4" s="85">
        <f>IF(E4&gt;0,$N$13,0)+IF(C4&gt;0,50000,0)+IF(C12&lt;0,50000,0)</f>
        <v>50000</v>
      </c>
      <c r="J4" s="87" t="s">
        <v>8</v>
      </c>
      <c r="K4" s="88"/>
      <c r="L4" s="89"/>
      <c r="M4" s="78">
        <v>10</v>
      </c>
      <c r="N4" s="72">
        <f>N12*25%</f>
        <v>1500000</v>
      </c>
    </row>
    <row r="5" spans="1:14" s="73" customFormat="1" ht="18" customHeight="1">
      <c r="A5" s="120" t="s">
        <v>78</v>
      </c>
      <c r="B5" s="160">
        <v>13.8</v>
      </c>
      <c r="C5" s="71">
        <v>33</v>
      </c>
      <c r="D5" s="69">
        <v>31</v>
      </c>
      <c r="E5" s="70">
        <v>5.02</v>
      </c>
      <c r="F5" s="71">
        <v>2</v>
      </c>
      <c r="G5" s="71">
        <v>8</v>
      </c>
      <c r="H5" s="72">
        <f aca="true" t="shared" si="0" ref="H5:H11">N5+I5</f>
        <v>1610000</v>
      </c>
      <c r="I5" s="85">
        <f aca="true" t="shared" si="1" ref="I5:I11">IF(E5&gt;0,$N$13,0)+IF(C5&gt;0,50000,0)+IF(C13&lt;0,50000,0)</f>
        <v>410000</v>
      </c>
      <c r="J5" s="90" t="s">
        <v>9</v>
      </c>
      <c r="K5" s="91"/>
      <c r="L5" s="92"/>
      <c r="M5" s="75">
        <v>8</v>
      </c>
      <c r="N5" s="72">
        <f>N12*20%</f>
        <v>1200000</v>
      </c>
    </row>
    <row r="6" spans="1:14" s="73" customFormat="1" ht="18" customHeight="1">
      <c r="A6" s="120" t="s">
        <v>109</v>
      </c>
      <c r="B6" s="160">
        <v>15.7</v>
      </c>
      <c r="C6" s="77">
        <v>33</v>
      </c>
      <c r="D6" s="69">
        <v>32</v>
      </c>
      <c r="E6" s="70"/>
      <c r="F6" s="76">
        <v>3</v>
      </c>
      <c r="G6" s="76">
        <v>6</v>
      </c>
      <c r="H6" s="72">
        <f t="shared" si="0"/>
        <v>950000</v>
      </c>
      <c r="I6" s="85">
        <f t="shared" si="1"/>
        <v>50000</v>
      </c>
      <c r="J6" s="90" t="s">
        <v>10</v>
      </c>
      <c r="K6" s="91"/>
      <c r="L6" s="92"/>
      <c r="M6" s="75">
        <v>6</v>
      </c>
      <c r="N6" s="72">
        <f>N12*15%</f>
        <v>900000</v>
      </c>
    </row>
    <row r="7" spans="1:18" s="73" customFormat="1" ht="18" customHeight="1">
      <c r="A7" s="120" t="s">
        <v>76</v>
      </c>
      <c r="B7" s="160">
        <v>13.1</v>
      </c>
      <c r="C7" s="74">
        <v>32</v>
      </c>
      <c r="D7" s="69">
        <v>33</v>
      </c>
      <c r="E7" s="70"/>
      <c r="F7" s="71">
        <v>4</v>
      </c>
      <c r="G7" s="71">
        <v>5</v>
      </c>
      <c r="H7" s="72">
        <f t="shared" si="0"/>
        <v>770000</v>
      </c>
      <c r="I7" s="85">
        <f t="shared" si="1"/>
        <v>50000</v>
      </c>
      <c r="J7" s="90" t="s">
        <v>11</v>
      </c>
      <c r="K7" s="91"/>
      <c r="L7" s="92"/>
      <c r="M7" s="75">
        <v>5</v>
      </c>
      <c r="N7" s="72">
        <f>N12*12%</f>
        <v>720000</v>
      </c>
      <c r="O7" s="79"/>
      <c r="P7" s="79"/>
      <c r="Q7" s="79"/>
      <c r="R7" s="80"/>
    </row>
    <row r="8" spans="1:14" s="73" customFormat="1" ht="18" customHeight="1">
      <c r="A8" s="120" t="s">
        <v>111</v>
      </c>
      <c r="B8" s="160">
        <v>13.6</v>
      </c>
      <c r="C8" s="71">
        <v>31</v>
      </c>
      <c r="D8" s="77">
        <v>32</v>
      </c>
      <c r="E8" s="76"/>
      <c r="F8" s="71">
        <v>5</v>
      </c>
      <c r="G8" s="71">
        <v>4</v>
      </c>
      <c r="H8" s="72">
        <f t="shared" si="0"/>
        <v>650000</v>
      </c>
      <c r="I8" s="85">
        <f t="shared" si="1"/>
        <v>50000</v>
      </c>
      <c r="J8" s="90" t="s">
        <v>12</v>
      </c>
      <c r="K8" s="91"/>
      <c r="L8" s="92"/>
      <c r="M8" s="75">
        <v>4</v>
      </c>
      <c r="N8" s="72">
        <f>N12*10%</f>
        <v>600000</v>
      </c>
    </row>
    <row r="9" spans="1:14" s="73" customFormat="1" ht="18" customHeight="1">
      <c r="A9" s="120" t="s">
        <v>115</v>
      </c>
      <c r="B9" s="160">
        <v>14.1</v>
      </c>
      <c r="C9" s="76">
        <v>31</v>
      </c>
      <c r="D9" s="77">
        <v>34</v>
      </c>
      <c r="E9" s="76"/>
      <c r="F9" s="81">
        <v>6</v>
      </c>
      <c r="G9" s="81">
        <v>3</v>
      </c>
      <c r="H9" s="72">
        <f t="shared" si="0"/>
        <v>530000</v>
      </c>
      <c r="I9" s="85">
        <f t="shared" si="1"/>
        <v>50000</v>
      </c>
      <c r="J9" s="90" t="s">
        <v>13</v>
      </c>
      <c r="K9" s="91"/>
      <c r="L9" s="92"/>
      <c r="M9" s="75">
        <v>3</v>
      </c>
      <c r="N9" s="72">
        <f>N12*8%</f>
        <v>480000</v>
      </c>
    </row>
    <row r="10" spans="1:14" s="73" customFormat="1" ht="18" customHeight="1">
      <c r="A10" s="120" t="s">
        <v>75</v>
      </c>
      <c r="B10" s="160">
        <v>16.7</v>
      </c>
      <c r="C10" s="74">
        <v>31</v>
      </c>
      <c r="D10" s="77">
        <v>34</v>
      </c>
      <c r="E10" s="76"/>
      <c r="F10" s="71">
        <v>7</v>
      </c>
      <c r="G10" s="71">
        <v>2</v>
      </c>
      <c r="H10" s="72">
        <f t="shared" si="0"/>
        <v>410000</v>
      </c>
      <c r="I10" s="85">
        <f t="shared" si="1"/>
        <v>50000</v>
      </c>
      <c r="J10" s="90" t="s">
        <v>14</v>
      </c>
      <c r="K10" s="91"/>
      <c r="L10" s="92"/>
      <c r="M10" s="75">
        <v>2</v>
      </c>
      <c r="N10" s="72">
        <f>N12*6%</f>
        <v>360000</v>
      </c>
    </row>
    <row r="11" spans="1:14" s="73" customFormat="1" ht="18" customHeight="1">
      <c r="A11" s="120" t="s">
        <v>110</v>
      </c>
      <c r="B11" s="160">
        <v>15.8</v>
      </c>
      <c r="C11" s="74">
        <v>30</v>
      </c>
      <c r="D11" s="69">
        <v>31</v>
      </c>
      <c r="E11" s="70"/>
      <c r="F11" s="71">
        <v>8</v>
      </c>
      <c r="G11" s="71">
        <v>1</v>
      </c>
      <c r="H11" s="72">
        <f t="shared" si="0"/>
        <v>290000</v>
      </c>
      <c r="I11" s="85">
        <f t="shared" si="1"/>
        <v>50000</v>
      </c>
      <c r="J11" s="90" t="s">
        <v>15</v>
      </c>
      <c r="K11" s="91"/>
      <c r="L11" s="92"/>
      <c r="M11" s="75">
        <v>1</v>
      </c>
      <c r="N11" s="72">
        <f>N12*4%</f>
        <v>240000</v>
      </c>
    </row>
    <row r="12" spans="1:14" s="73" customFormat="1" ht="18" customHeight="1">
      <c r="A12" s="120" t="s">
        <v>117</v>
      </c>
      <c r="B12" s="160">
        <v>13.2</v>
      </c>
      <c r="C12" s="71">
        <v>28</v>
      </c>
      <c r="D12" s="69">
        <v>39</v>
      </c>
      <c r="E12" s="70"/>
      <c r="F12" s="68"/>
      <c r="G12" s="71"/>
      <c r="H12" s="72">
        <f>I12</f>
        <v>50000</v>
      </c>
      <c r="I12" s="85">
        <f>IF(E12&gt;0,$N$13,0)+IF(C12&gt;0,50000,0)+IF(C12&lt;0,50000,0)</f>
        <v>50000</v>
      </c>
      <c r="J12" s="93" t="s">
        <v>3</v>
      </c>
      <c r="K12" s="91"/>
      <c r="L12" s="92"/>
      <c r="M12" s="75"/>
      <c r="N12" s="82">
        <v>6000000</v>
      </c>
    </row>
    <row r="13" spans="1:14" s="73" customFormat="1" ht="18" customHeight="1">
      <c r="A13" s="120" t="s">
        <v>59</v>
      </c>
      <c r="B13" s="160">
        <v>17.8</v>
      </c>
      <c r="C13" s="74">
        <v>27</v>
      </c>
      <c r="D13" s="69">
        <v>35</v>
      </c>
      <c r="E13" s="70"/>
      <c r="F13" s="71"/>
      <c r="G13" s="71"/>
      <c r="H13" s="72">
        <f aca="true" t="shared" si="2" ref="H13:H27">I13</f>
        <v>50000</v>
      </c>
      <c r="I13" s="85">
        <f aca="true" t="shared" si="3" ref="I13:I27">IF(E13&gt;0,$N$13,0)+IF(C13&gt;0,50000,0)+IF(C13&lt;0,50000,0)</f>
        <v>50000</v>
      </c>
      <c r="J13" s="122" t="s">
        <v>62</v>
      </c>
      <c r="K13" s="123"/>
      <c r="L13" s="124"/>
      <c r="M13" s="125">
        <v>1</v>
      </c>
      <c r="N13" s="126">
        <f>N10</f>
        <v>360000</v>
      </c>
    </row>
    <row r="14" spans="1:14" s="73" customFormat="1" ht="18" customHeight="1">
      <c r="A14" s="120" t="s">
        <v>71</v>
      </c>
      <c r="B14" s="160">
        <v>6.4</v>
      </c>
      <c r="C14" s="71">
        <v>25</v>
      </c>
      <c r="D14" s="69">
        <v>34</v>
      </c>
      <c r="E14" s="70"/>
      <c r="F14" s="71"/>
      <c r="G14" s="71"/>
      <c r="H14" s="72">
        <f t="shared" si="2"/>
        <v>50000</v>
      </c>
      <c r="I14" s="85">
        <f t="shared" si="3"/>
        <v>50000</v>
      </c>
      <c r="J14" s="131"/>
      <c r="K14" s="123"/>
      <c r="L14" s="123"/>
      <c r="M14" s="132"/>
      <c r="N14" s="133"/>
    </row>
    <row r="15" spans="1:14" s="73" customFormat="1" ht="18" customHeight="1">
      <c r="A15" s="120" t="s">
        <v>70</v>
      </c>
      <c r="B15" s="160">
        <v>16.7</v>
      </c>
      <c r="C15" s="71">
        <v>24</v>
      </c>
      <c r="D15" s="69">
        <v>36</v>
      </c>
      <c r="E15" s="70"/>
      <c r="F15" s="71"/>
      <c r="G15" s="71"/>
      <c r="H15" s="72">
        <f t="shared" si="2"/>
        <v>50000</v>
      </c>
      <c r="I15" s="85">
        <f t="shared" si="3"/>
        <v>50000</v>
      </c>
      <c r="J15" s="127"/>
      <c r="K15" s="128"/>
      <c r="L15" s="128"/>
      <c r="M15" s="129"/>
      <c r="N15" s="130"/>
    </row>
    <row r="16" spans="1:9" s="73" customFormat="1" ht="18" customHeight="1">
      <c r="A16" s="120" t="s">
        <v>72</v>
      </c>
      <c r="B16" s="160">
        <v>17.4</v>
      </c>
      <c r="C16" s="71">
        <v>23</v>
      </c>
      <c r="D16" s="69">
        <v>39</v>
      </c>
      <c r="E16" s="70"/>
      <c r="F16" s="76"/>
      <c r="G16" s="76"/>
      <c r="H16" s="72">
        <f t="shared" si="2"/>
        <v>50000</v>
      </c>
      <c r="I16" s="85">
        <f t="shared" si="3"/>
        <v>50000</v>
      </c>
    </row>
    <row r="17" spans="1:18" s="73" customFormat="1" ht="18" customHeight="1">
      <c r="A17" s="120" t="s">
        <v>65</v>
      </c>
      <c r="B17" s="160">
        <v>10.4</v>
      </c>
      <c r="C17" s="68">
        <v>22</v>
      </c>
      <c r="D17" s="77">
        <v>38</v>
      </c>
      <c r="E17" s="76"/>
      <c r="F17" s="76"/>
      <c r="G17" s="76"/>
      <c r="H17" s="72">
        <f t="shared" si="2"/>
        <v>50000</v>
      </c>
      <c r="I17" s="85">
        <f t="shared" si="3"/>
        <v>50000</v>
      </c>
      <c r="O17" s="79"/>
      <c r="P17" s="79"/>
      <c r="Q17" s="79"/>
      <c r="R17" s="80"/>
    </row>
    <row r="18" spans="1:13" s="73" customFormat="1" ht="18" customHeight="1">
      <c r="A18" s="120" t="s">
        <v>326</v>
      </c>
      <c r="B18" s="160">
        <v>14.7</v>
      </c>
      <c r="C18" s="76">
        <v>18</v>
      </c>
      <c r="D18" s="69">
        <v>41</v>
      </c>
      <c r="E18" s="70"/>
      <c r="F18" s="71"/>
      <c r="G18" s="71"/>
      <c r="H18" s="72">
        <f t="shared" si="2"/>
        <v>50000</v>
      </c>
      <c r="I18" s="85">
        <f t="shared" si="3"/>
        <v>50000</v>
      </c>
      <c r="J18" s="80"/>
      <c r="K18" s="80"/>
      <c r="L18" s="80"/>
      <c r="M18" s="80"/>
    </row>
    <row r="19" spans="1:13" s="73" customFormat="1" ht="18" customHeight="1">
      <c r="A19" s="120"/>
      <c r="B19" s="160"/>
      <c r="C19" s="71"/>
      <c r="D19" s="77"/>
      <c r="E19" s="76"/>
      <c r="F19" s="71"/>
      <c r="G19" s="71"/>
      <c r="H19" s="72">
        <f t="shared" si="2"/>
        <v>0</v>
      </c>
      <c r="I19" s="85">
        <f t="shared" si="3"/>
        <v>0</v>
      </c>
      <c r="J19" s="80"/>
      <c r="K19" s="80"/>
      <c r="L19" s="80"/>
      <c r="M19" s="80"/>
    </row>
    <row r="20" spans="1:9" s="4" customFormat="1" ht="18" customHeight="1">
      <c r="A20" s="120"/>
      <c r="B20" s="160"/>
      <c r="C20" s="71"/>
      <c r="D20" s="69"/>
      <c r="E20" s="70"/>
      <c r="F20" s="76"/>
      <c r="G20" s="76"/>
      <c r="H20" s="72">
        <f t="shared" si="2"/>
        <v>0</v>
      </c>
      <c r="I20" s="85">
        <f t="shared" si="3"/>
        <v>0</v>
      </c>
    </row>
    <row r="21" spans="1:9" s="4" customFormat="1" ht="18" customHeight="1">
      <c r="A21" s="120"/>
      <c r="B21" s="160"/>
      <c r="C21" s="71"/>
      <c r="D21" s="77"/>
      <c r="E21" s="76"/>
      <c r="F21" s="76"/>
      <c r="G21" s="76"/>
      <c r="H21" s="72">
        <f t="shared" si="2"/>
        <v>0</v>
      </c>
      <c r="I21" s="85">
        <f t="shared" si="3"/>
        <v>0</v>
      </c>
    </row>
    <row r="22" spans="1:9" s="4" customFormat="1" ht="18" customHeight="1">
      <c r="A22" s="120"/>
      <c r="B22" s="160"/>
      <c r="C22" s="71"/>
      <c r="D22" s="69"/>
      <c r="E22" s="70"/>
      <c r="F22" s="76"/>
      <c r="G22" s="76"/>
      <c r="H22" s="72">
        <f t="shared" si="2"/>
        <v>0</v>
      </c>
      <c r="I22" s="85">
        <f t="shared" si="3"/>
        <v>0</v>
      </c>
    </row>
    <row r="23" spans="1:9" s="4" customFormat="1" ht="18" customHeight="1">
      <c r="A23" s="120"/>
      <c r="B23" s="160"/>
      <c r="C23" s="71"/>
      <c r="D23" s="77"/>
      <c r="E23" s="76"/>
      <c r="F23" s="76"/>
      <c r="G23" s="76"/>
      <c r="H23" s="72">
        <f t="shared" si="2"/>
        <v>0</v>
      </c>
      <c r="I23" s="85">
        <f t="shared" si="3"/>
        <v>0</v>
      </c>
    </row>
    <row r="24" spans="1:9" s="4" customFormat="1" ht="18" customHeight="1">
      <c r="A24" s="120"/>
      <c r="B24" s="160"/>
      <c r="C24" s="71"/>
      <c r="D24" s="69"/>
      <c r="E24" s="70"/>
      <c r="F24" s="76"/>
      <c r="G24" s="76"/>
      <c r="H24" s="72">
        <f t="shared" si="2"/>
        <v>0</v>
      </c>
      <c r="I24" s="85">
        <f t="shared" si="3"/>
        <v>0</v>
      </c>
    </row>
    <row r="25" spans="1:9" s="4" customFormat="1" ht="18" customHeight="1">
      <c r="A25" s="120"/>
      <c r="B25" s="160"/>
      <c r="C25" s="74"/>
      <c r="D25" s="69"/>
      <c r="E25" s="70"/>
      <c r="F25" s="76"/>
      <c r="G25" s="76"/>
      <c r="H25" s="72">
        <f t="shared" si="2"/>
        <v>0</v>
      </c>
      <c r="I25" s="85">
        <f t="shared" si="3"/>
        <v>0</v>
      </c>
    </row>
    <row r="26" spans="1:9" s="4" customFormat="1" ht="18" customHeight="1">
      <c r="A26" s="120"/>
      <c r="B26" s="159"/>
      <c r="C26" s="74"/>
      <c r="D26" s="77"/>
      <c r="E26" s="76"/>
      <c r="F26" s="71"/>
      <c r="G26" s="71"/>
      <c r="H26" s="72">
        <f t="shared" si="2"/>
        <v>0</v>
      </c>
      <c r="I26" s="85">
        <f t="shared" si="3"/>
        <v>0</v>
      </c>
    </row>
    <row r="27" spans="1:9" s="4" customFormat="1" ht="18" customHeight="1">
      <c r="A27" s="121"/>
      <c r="B27" s="67"/>
      <c r="C27" s="71"/>
      <c r="D27" s="69"/>
      <c r="E27" s="70"/>
      <c r="F27" s="71"/>
      <c r="G27" s="71"/>
      <c r="H27" s="72">
        <f t="shared" si="2"/>
        <v>0</v>
      </c>
      <c r="I27" s="85">
        <f t="shared" si="3"/>
        <v>0</v>
      </c>
    </row>
    <row r="28" spans="1:9" ht="24" customHeight="1" thickBot="1">
      <c r="A28" s="1"/>
      <c r="B28" s="2"/>
      <c r="C28" s="3"/>
      <c r="D28" s="172">
        <f>SUM(D4:D27)</f>
        <v>521</v>
      </c>
      <c r="E28" s="3"/>
      <c r="F28" s="2"/>
      <c r="G28" s="167">
        <f>SUM(G4:G27)</f>
        <v>39</v>
      </c>
      <c r="H28" s="167">
        <f>SUM(H4:H27)</f>
        <v>7110000</v>
      </c>
      <c r="I28" s="86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4330708661417323" right="0.4330708661417323" top="0.5511811023622047" bottom="0.5511811023622047" header="0.31496062992125984" footer="0.31496062992125984"/>
  <pageSetup fitToHeight="1" fitToWidth="1" orientation="landscape" paperSize="9" scale="88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K44" sqref="K44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4" customFormat="1" ht="43.5" customHeight="1">
      <c r="B1" s="374" t="s">
        <v>81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2:14" s="4" customFormat="1" ht="29.25" customHeight="1">
      <c r="B2" s="375" t="s">
        <v>234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52</v>
      </c>
      <c r="F3" s="63" t="s">
        <v>6</v>
      </c>
      <c r="G3" s="64" t="s">
        <v>5</v>
      </c>
      <c r="H3" s="65" t="s">
        <v>51</v>
      </c>
      <c r="I3" s="66"/>
      <c r="J3" s="138" t="s">
        <v>6</v>
      </c>
      <c r="K3" s="134"/>
      <c r="L3" s="135"/>
      <c r="M3" s="136" t="s">
        <v>5</v>
      </c>
      <c r="N3" s="137" t="s">
        <v>4</v>
      </c>
    </row>
    <row r="4" spans="1:14" s="73" customFormat="1" ht="18" customHeight="1">
      <c r="A4" s="120" t="s">
        <v>75</v>
      </c>
      <c r="B4" s="160">
        <v>16.7</v>
      </c>
      <c r="C4" s="71">
        <v>39</v>
      </c>
      <c r="D4" s="77">
        <v>31</v>
      </c>
      <c r="E4" s="76"/>
      <c r="F4" s="71">
        <v>1</v>
      </c>
      <c r="G4" s="68">
        <v>10</v>
      </c>
      <c r="H4" s="72">
        <f>N4+I4</f>
        <v>1550000</v>
      </c>
      <c r="I4" s="85">
        <f>IF(E4&gt;0,$N$13,0)+IF(C4&gt;0,50000,0)+IF(C12&lt;0,50000,0)</f>
        <v>50000</v>
      </c>
      <c r="J4" s="87" t="s">
        <v>8</v>
      </c>
      <c r="K4" s="88"/>
      <c r="L4" s="89"/>
      <c r="M4" s="78">
        <v>10</v>
      </c>
      <c r="N4" s="72">
        <f>N12*25%</f>
        <v>1500000</v>
      </c>
    </row>
    <row r="5" spans="1:14" s="73" customFormat="1" ht="18" customHeight="1">
      <c r="A5" s="120" t="s">
        <v>61</v>
      </c>
      <c r="B5" s="160">
        <v>21.9</v>
      </c>
      <c r="C5" s="71">
        <v>32</v>
      </c>
      <c r="D5" s="77">
        <v>33</v>
      </c>
      <c r="E5" s="76"/>
      <c r="F5" s="71">
        <v>2</v>
      </c>
      <c r="G5" s="71">
        <v>8</v>
      </c>
      <c r="H5" s="72">
        <f aca="true" t="shared" si="0" ref="H5:H11">N5+I5</f>
        <v>1250000</v>
      </c>
      <c r="I5" s="85">
        <f aca="true" t="shared" si="1" ref="I5:I11">IF(E5&gt;0,$N$13,0)+IF(C5&gt;0,50000,0)+IF(C13&lt;0,50000,0)</f>
        <v>50000</v>
      </c>
      <c r="J5" s="90" t="s">
        <v>9</v>
      </c>
      <c r="K5" s="91"/>
      <c r="L5" s="92"/>
      <c r="M5" s="75">
        <v>8</v>
      </c>
      <c r="N5" s="72">
        <f>N12*20%</f>
        <v>1200000</v>
      </c>
    </row>
    <row r="6" spans="1:14" s="73" customFormat="1" ht="18" customHeight="1">
      <c r="A6" s="120" t="s">
        <v>111</v>
      </c>
      <c r="B6" s="160">
        <v>13.6</v>
      </c>
      <c r="C6" s="71">
        <v>30</v>
      </c>
      <c r="D6" s="69">
        <v>34</v>
      </c>
      <c r="E6" s="70"/>
      <c r="F6" s="76">
        <v>3</v>
      </c>
      <c r="G6" s="76">
        <v>6</v>
      </c>
      <c r="H6" s="72">
        <f t="shared" si="0"/>
        <v>950000</v>
      </c>
      <c r="I6" s="85">
        <f t="shared" si="1"/>
        <v>50000</v>
      </c>
      <c r="J6" s="90" t="s">
        <v>10</v>
      </c>
      <c r="K6" s="91"/>
      <c r="L6" s="92"/>
      <c r="M6" s="75">
        <v>6</v>
      </c>
      <c r="N6" s="72">
        <f>N12*15%</f>
        <v>900000</v>
      </c>
    </row>
    <row r="7" spans="1:18" s="73" customFormat="1" ht="18" customHeight="1">
      <c r="A7" s="120" t="s">
        <v>73</v>
      </c>
      <c r="B7" s="160">
        <v>14.8</v>
      </c>
      <c r="C7" s="74">
        <v>30</v>
      </c>
      <c r="D7" s="69">
        <v>36</v>
      </c>
      <c r="E7" s="70"/>
      <c r="F7" s="71">
        <v>4</v>
      </c>
      <c r="G7" s="71">
        <v>5</v>
      </c>
      <c r="H7" s="72">
        <f t="shared" si="0"/>
        <v>770000</v>
      </c>
      <c r="I7" s="85">
        <f t="shared" si="1"/>
        <v>50000</v>
      </c>
      <c r="J7" s="90" t="s">
        <v>11</v>
      </c>
      <c r="K7" s="91"/>
      <c r="L7" s="92"/>
      <c r="M7" s="75">
        <v>5</v>
      </c>
      <c r="N7" s="72">
        <f>N12*12%</f>
        <v>720000</v>
      </c>
      <c r="O7" s="79"/>
      <c r="P7" s="79"/>
      <c r="Q7" s="79"/>
      <c r="R7" s="80"/>
    </row>
    <row r="8" spans="1:14" s="73" customFormat="1" ht="18" customHeight="1">
      <c r="A8" s="120" t="s">
        <v>65</v>
      </c>
      <c r="B8" s="160">
        <v>10.4</v>
      </c>
      <c r="C8" s="74">
        <v>29</v>
      </c>
      <c r="D8" s="77">
        <v>33</v>
      </c>
      <c r="E8" s="76"/>
      <c r="F8" s="71">
        <v>5</v>
      </c>
      <c r="G8" s="71">
        <v>4</v>
      </c>
      <c r="H8" s="72">
        <f t="shared" si="0"/>
        <v>650000</v>
      </c>
      <c r="I8" s="85">
        <f t="shared" si="1"/>
        <v>50000</v>
      </c>
      <c r="J8" s="90" t="s">
        <v>12</v>
      </c>
      <c r="K8" s="91"/>
      <c r="L8" s="92"/>
      <c r="M8" s="75">
        <v>4</v>
      </c>
      <c r="N8" s="72">
        <f>N12*10%</f>
        <v>600000</v>
      </c>
    </row>
    <row r="9" spans="1:14" s="73" customFormat="1" ht="18" customHeight="1">
      <c r="A9" s="120" t="s">
        <v>109</v>
      </c>
      <c r="B9" s="160">
        <v>15.7</v>
      </c>
      <c r="C9" s="74">
        <v>29</v>
      </c>
      <c r="D9" s="77">
        <v>36</v>
      </c>
      <c r="E9" s="76"/>
      <c r="F9" s="81">
        <v>6</v>
      </c>
      <c r="G9" s="81">
        <v>3</v>
      </c>
      <c r="H9" s="72">
        <f t="shared" si="0"/>
        <v>530000</v>
      </c>
      <c r="I9" s="85">
        <f t="shared" si="1"/>
        <v>50000</v>
      </c>
      <c r="J9" s="90" t="s">
        <v>13</v>
      </c>
      <c r="K9" s="91"/>
      <c r="L9" s="92"/>
      <c r="M9" s="75">
        <v>3</v>
      </c>
      <c r="N9" s="72">
        <f>N12*8%</f>
        <v>480000</v>
      </c>
    </row>
    <row r="10" spans="1:14" s="73" customFormat="1" ht="18" customHeight="1">
      <c r="A10" s="120" t="s">
        <v>110</v>
      </c>
      <c r="B10" s="160">
        <v>15.8</v>
      </c>
      <c r="C10" s="71">
        <v>29</v>
      </c>
      <c r="D10" s="77">
        <v>34</v>
      </c>
      <c r="E10" s="76">
        <v>2.27</v>
      </c>
      <c r="F10" s="71">
        <v>7</v>
      </c>
      <c r="G10" s="71">
        <v>2</v>
      </c>
      <c r="H10" s="72">
        <f t="shared" si="0"/>
        <v>770000</v>
      </c>
      <c r="I10" s="85">
        <f t="shared" si="1"/>
        <v>410000</v>
      </c>
      <c r="J10" s="90" t="s">
        <v>14</v>
      </c>
      <c r="K10" s="91"/>
      <c r="L10" s="92"/>
      <c r="M10" s="75">
        <v>2</v>
      </c>
      <c r="N10" s="72">
        <f>N12*6%</f>
        <v>360000</v>
      </c>
    </row>
    <row r="11" spans="1:14" s="73" customFormat="1" ht="18" customHeight="1">
      <c r="A11" s="120" t="s">
        <v>115</v>
      </c>
      <c r="B11" s="160">
        <v>14.1</v>
      </c>
      <c r="C11" s="77">
        <v>28</v>
      </c>
      <c r="D11" s="69">
        <v>34</v>
      </c>
      <c r="E11" s="70"/>
      <c r="F11" s="71">
        <v>8</v>
      </c>
      <c r="G11" s="71">
        <v>1</v>
      </c>
      <c r="H11" s="72">
        <f t="shared" si="0"/>
        <v>290000</v>
      </c>
      <c r="I11" s="85">
        <f t="shared" si="1"/>
        <v>50000</v>
      </c>
      <c r="J11" s="90" t="s">
        <v>15</v>
      </c>
      <c r="K11" s="91"/>
      <c r="L11" s="92"/>
      <c r="M11" s="75">
        <v>1</v>
      </c>
      <c r="N11" s="72">
        <f>N12*4%</f>
        <v>240000</v>
      </c>
    </row>
    <row r="12" spans="1:14" s="73" customFormat="1" ht="18" customHeight="1">
      <c r="A12" s="120" t="s">
        <v>77</v>
      </c>
      <c r="B12" s="160">
        <v>22.8</v>
      </c>
      <c r="C12" s="68">
        <v>28</v>
      </c>
      <c r="D12" s="77">
        <v>32</v>
      </c>
      <c r="E12" s="76"/>
      <c r="F12" s="68"/>
      <c r="G12" s="71"/>
      <c r="H12" s="72">
        <f>I12</f>
        <v>50000</v>
      </c>
      <c r="I12" s="85">
        <f>IF(E12&gt;0,$N$13,0)+IF(C12&gt;0,50000,0)+IF(C12&lt;0,50000,0)</f>
        <v>50000</v>
      </c>
      <c r="J12" s="93" t="s">
        <v>3</v>
      </c>
      <c r="K12" s="91"/>
      <c r="L12" s="92"/>
      <c r="M12" s="75"/>
      <c r="N12" s="82">
        <v>6000000</v>
      </c>
    </row>
    <row r="13" spans="1:14" s="73" customFormat="1" ht="18" customHeight="1">
      <c r="A13" s="120" t="s">
        <v>70</v>
      </c>
      <c r="B13" s="160">
        <v>16.7</v>
      </c>
      <c r="C13" s="76">
        <v>26</v>
      </c>
      <c r="D13" s="77">
        <v>37</v>
      </c>
      <c r="E13" s="76"/>
      <c r="F13" s="71"/>
      <c r="G13" s="71"/>
      <c r="H13" s="72">
        <f aca="true" t="shared" si="2" ref="H13:H27">I13</f>
        <v>50000</v>
      </c>
      <c r="I13" s="85">
        <f aca="true" t="shared" si="3" ref="I13:I27">IF(E13&gt;0,$N$13,0)+IF(C13&gt;0,50000,0)+IF(C13&lt;0,50000,0)</f>
        <v>50000</v>
      </c>
      <c r="J13" s="122" t="s">
        <v>62</v>
      </c>
      <c r="K13" s="123"/>
      <c r="L13" s="124"/>
      <c r="M13" s="125">
        <v>1</v>
      </c>
      <c r="N13" s="126">
        <f>N10</f>
        <v>360000</v>
      </c>
    </row>
    <row r="14" spans="1:14" s="73" customFormat="1" ht="18" customHeight="1">
      <c r="A14" s="120" t="s">
        <v>66</v>
      </c>
      <c r="B14" s="160">
        <v>24.2</v>
      </c>
      <c r="C14" s="71">
        <v>25</v>
      </c>
      <c r="D14" s="69">
        <v>44</v>
      </c>
      <c r="E14" s="77"/>
      <c r="F14" s="71"/>
      <c r="G14" s="71"/>
      <c r="H14" s="72">
        <f t="shared" si="2"/>
        <v>50000</v>
      </c>
      <c r="I14" s="85">
        <f t="shared" si="3"/>
        <v>50000</v>
      </c>
      <c r="J14" s="131"/>
      <c r="K14" s="123"/>
      <c r="L14" s="123"/>
      <c r="M14" s="132"/>
      <c r="N14" s="133"/>
    </row>
    <row r="15" spans="1:14" s="73" customFormat="1" ht="18" customHeight="1">
      <c r="A15" s="120" t="s">
        <v>59</v>
      </c>
      <c r="B15" s="160">
        <v>17.8</v>
      </c>
      <c r="C15" s="71">
        <v>22</v>
      </c>
      <c r="D15" s="69">
        <v>41</v>
      </c>
      <c r="E15" s="70"/>
      <c r="F15" s="71"/>
      <c r="G15" s="71"/>
      <c r="H15" s="72">
        <f t="shared" si="2"/>
        <v>50000</v>
      </c>
      <c r="I15" s="85">
        <f t="shared" si="3"/>
        <v>50000</v>
      </c>
      <c r="J15" s="127"/>
      <c r="K15" s="128"/>
      <c r="L15" s="128"/>
      <c r="M15" s="129"/>
      <c r="N15" s="130"/>
    </row>
    <row r="16" spans="1:9" s="73" customFormat="1" ht="18" customHeight="1">
      <c r="A16" s="120" t="s">
        <v>71</v>
      </c>
      <c r="B16" s="160">
        <v>6.4</v>
      </c>
      <c r="C16" s="71">
        <v>21</v>
      </c>
      <c r="D16" s="69">
        <v>42</v>
      </c>
      <c r="E16" s="70"/>
      <c r="F16" s="76"/>
      <c r="G16" s="76"/>
      <c r="H16" s="72">
        <f t="shared" si="2"/>
        <v>50000</v>
      </c>
      <c r="I16" s="85">
        <f t="shared" si="3"/>
        <v>50000</v>
      </c>
    </row>
    <row r="17" spans="1:18" s="73" customFormat="1" ht="18" customHeight="1">
      <c r="A17" s="120" t="s">
        <v>76</v>
      </c>
      <c r="B17" s="160">
        <v>13.1</v>
      </c>
      <c r="C17" s="71">
        <v>20</v>
      </c>
      <c r="D17" s="69">
        <v>40</v>
      </c>
      <c r="E17" s="70"/>
      <c r="F17" s="76"/>
      <c r="G17" s="76"/>
      <c r="H17" s="72">
        <f t="shared" si="2"/>
        <v>50000</v>
      </c>
      <c r="I17" s="85">
        <f t="shared" si="3"/>
        <v>50000</v>
      </c>
      <c r="O17" s="79"/>
      <c r="P17" s="79"/>
      <c r="Q17" s="79"/>
      <c r="R17" s="80"/>
    </row>
    <row r="18" spans="1:13" s="73" customFormat="1" ht="18" customHeight="1">
      <c r="A18" s="120" t="s">
        <v>74</v>
      </c>
      <c r="B18" s="160">
        <v>17.2</v>
      </c>
      <c r="C18" s="71">
        <v>19</v>
      </c>
      <c r="D18" s="69">
        <v>39</v>
      </c>
      <c r="E18" s="70"/>
      <c r="F18" s="71"/>
      <c r="G18" s="71"/>
      <c r="H18" s="72">
        <f t="shared" si="2"/>
        <v>50000</v>
      </c>
      <c r="I18" s="85">
        <f t="shared" si="3"/>
        <v>50000</v>
      </c>
      <c r="J18" s="80"/>
      <c r="K18" s="80"/>
      <c r="L18" s="80"/>
      <c r="M18" s="80"/>
    </row>
    <row r="19" spans="1:13" s="73" customFormat="1" ht="18" customHeight="1">
      <c r="A19" s="120" t="s">
        <v>72</v>
      </c>
      <c r="B19" s="160">
        <v>17.4</v>
      </c>
      <c r="C19" s="71">
        <v>18</v>
      </c>
      <c r="D19" s="69">
        <v>42</v>
      </c>
      <c r="E19" s="70"/>
      <c r="F19" s="71"/>
      <c r="G19" s="71"/>
      <c r="H19" s="72">
        <f t="shared" si="2"/>
        <v>50000</v>
      </c>
      <c r="I19" s="85">
        <f t="shared" si="3"/>
        <v>50000</v>
      </c>
      <c r="J19" s="80"/>
      <c r="K19" s="80"/>
      <c r="L19" s="80"/>
      <c r="M19" s="80"/>
    </row>
    <row r="20" spans="1:9" s="4" customFormat="1" ht="18" customHeight="1">
      <c r="A20" s="120"/>
      <c r="B20" s="160"/>
      <c r="C20" s="71"/>
      <c r="D20" s="69"/>
      <c r="E20" s="70"/>
      <c r="F20" s="76"/>
      <c r="G20" s="76"/>
      <c r="H20" s="72">
        <f t="shared" si="2"/>
        <v>0</v>
      </c>
      <c r="I20" s="85">
        <f t="shared" si="3"/>
        <v>0</v>
      </c>
    </row>
    <row r="21" spans="1:9" s="4" customFormat="1" ht="18" customHeight="1">
      <c r="A21" s="120"/>
      <c r="B21" s="160"/>
      <c r="C21" s="74"/>
      <c r="D21" s="69"/>
      <c r="E21" s="70"/>
      <c r="F21" s="76"/>
      <c r="G21" s="76"/>
      <c r="H21" s="72">
        <f t="shared" si="2"/>
        <v>0</v>
      </c>
      <c r="I21" s="85">
        <f t="shared" si="3"/>
        <v>0</v>
      </c>
    </row>
    <row r="22" spans="1:9" s="4" customFormat="1" ht="18" customHeight="1">
      <c r="A22" s="120"/>
      <c r="B22" s="160"/>
      <c r="C22" s="76"/>
      <c r="D22" s="69"/>
      <c r="E22" s="70"/>
      <c r="F22" s="76"/>
      <c r="G22" s="76"/>
      <c r="H22" s="72">
        <f t="shared" si="2"/>
        <v>0</v>
      </c>
      <c r="I22" s="85">
        <f t="shared" si="3"/>
        <v>0</v>
      </c>
    </row>
    <row r="23" spans="1:9" s="4" customFormat="1" ht="18" customHeight="1">
      <c r="A23" s="120"/>
      <c r="B23" s="160"/>
      <c r="C23" s="74"/>
      <c r="D23" s="69"/>
      <c r="E23" s="70"/>
      <c r="F23" s="76"/>
      <c r="G23" s="76"/>
      <c r="H23" s="72">
        <f t="shared" si="2"/>
        <v>0</v>
      </c>
      <c r="I23" s="85">
        <f t="shared" si="3"/>
        <v>0</v>
      </c>
    </row>
    <row r="24" spans="1:9" s="4" customFormat="1" ht="18" customHeight="1">
      <c r="A24" s="120"/>
      <c r="B24" s="159"/>
      <c r="C24" s="74"/>
      <c r="D24" s="69"/>
      <c r="E24" s="70"/>
      <c r="F24" s="76"/>
      <c r="G24" s="76"/>
      <c r="H24" s="72">
        <f t="shared" si="2"/>
        <v>0</v>
      </c>
      <c r="I24" s="85">
        <f t="shared" si="3"/>
        <v>0</v>
      </c>
    </row>
    <row r="25" spans="1:9" s="4" customFormat="1" ht="18" customHeight="1">
      <c r="A25" s="120"/>
      <c r="B25" s="159"/>
      <c r="C25" s="71"/>
      <c r="D25" s="77"/>
      <c r="E25" s="76"/>
      <c r="F25" s="76"/>
      <c r="G25" s="76"/>
      <c r="H25" s="72">
        <f t="shared" si="2"/>
        <v>0</v>
      </c>
      <c r="I25" s="85">
        <f t="shared" si="3"/>
        <v>0</v>
      </c>
    </row>
    <row r="26" spans="1:9" s="4" customFormat="1" ht="18" customHeight="1">
      <c r="A26" s="120"/>
      <c r="B26" s="159"/>
      <c r="C26" s="71"/>
      <c r="D26" s="69"/>
      <c r="E26" s="70"/>
      <c r="F26" s="71"/>
      <c r="G26" s="71"/>
      <c r="H26" s="72">
        <f t="shared" si="2"/>
        <v>0</v>
      </c>
      <c r="I26" s="85">
        <f t="shared" si="3"/>
        <v>0</v>
      </c>
    </row>
    <row r="27" spans="1:9" s="4" customFormat="1" ht="18" customHeight="1">
      <c r="A27" s="121"/>
      <c r="B27" s="67"/>
      <c r="C27" s="71"/>
      <c r="D27" s="69"/>
      <c r="E27" s="70"/>
      <c r="F27" s="71"/>
      <c r="G27" s="71"/>
      <c r="H27" s="72">
        <f t="shared" si="2"/>
        <v>0</v>
      </c>
      <c r="I27" s="85">
        <f t="shared" si="3"/>
        <v>0</v>
      </c>
    </row>
    <row r="28" spans="1:9" ht="24" customHeight="1" thickBot="1">
      <c r="A28" s="1"/>
      <c r="B28" s="2"/>
      <c r="C28" s="3"/>
      <c r="D28" s="2"/>
      <c r="E28" s="3"/>
      <c r="F28" s="2"/>
      <c r="G28" s="167">
        <f>SUM(G4:G27)</f>
        <v>39</v>
      </c>
      <c r="H28" s="167">
        <f>SUM(H4:H27)</f>
        <v>7160000</v>
      </c>
      <c r="I28" s="86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4330708661417323" right="0.4330708661417323" top="0.5511811023622047" bottom="0.5511811023622047" header="0.31496062992125984" footer="0.31496062992125984"/>
  <pageSetup fitToHeight="1" fitToWidth="1" orientation="landscape" paperSize="9" scale="88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L35" sqref="L35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4" customFormat="1" ht="43.5" customHeight="1">
      <c r="B1" s="374" t="s">
        <v>79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2:14" s="4" customFormat="1" ht="29.25" customHeight="1">
      <c r="B2" s="375" t="s">
        <v>164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52</v>
      </c>
      <c r="F3" s="63" t="s">
        <v>6</v>
      </c>
      <c r="G3" s="64" t="s">
        <v>5</v>
      </c>
      <c r="H3" s="65" t="s">
        <v>51</v>
      </c>
      <c r="I3" s="66"/>
      <c r="J3" s="138" t="s">
        <v>6</v>
      </c>
      <c r="K3" s="134"/>
      <c r="L3" s="135"/>
      <c r="M3" s="136" t="s">
        <v>5</v>
      </c>
      <c r="N3" s="137" t="s">
        <v>4</v>
      </c>
    </row>
    <row r="4" spans="1:14" s="73" customFormat="1" ht="18" customHeight="1">
      <c r="A4" s="120" t="s">
        <v>59</v>
      </c>
      <c r="B4" s="160">
        <v>17.8</v>
      </c>
      <c r="C4" s="71">
        <v>35</v>
      </c>
      <c r="D4" s="69">
        <v>32</v>
      </c>
      <c r="E4" s="70"/>
      <c r="F4" s="71">
        <v>1</v>
      </c>
      <c r="G4" s="68">
        <v>10</v>
      </c>
      <c r="H4" s="72">
        <f>N4+I4</f>
        <v>1550000</v>
      </c>
      <c r="I4" s="85">
        <f>IF(E4&gt;0,$N$13,0)+IF(C4&gt;0,50000,0)+IF(C12&lt;0,50000,0)</f>
        <v>50000</v>
      </c>
      <c r="J4" s="87" t="s">
        <v>8</v>
      </c>
      <c r="K4" s="88"/>
      <c r="L4" s="89"/>
      <c r="M4" s="78">
        <v>10</v>
      </c>
      <c r="N4" s="72">
        <f>N12*25%</f>
        <v>1500000</v>
      </c>
    </row>
    <row r="5" spans="1:14" s="73" customFormat="1" ht="18" customHeight="1">
      <c r="A5" s="120" t="s">
        <v>77</v>
      </c>
      <c r="B5" s="160">
        <v>22.8</v>
      </c>
      <c r="C5" s="71">
        <v>35</v>
      </c>
      <c r="D5" s="77">
        <v>36</v>
      </c>
      <c r="E5" s="70"/>
      <c r="F5" s="71">
        <v>2</v>
      </c>
      <c r="G5" s="71">
        <v>8</v>
      </c>
      <c r="H5" s="72">
        <f aca="true" t="shared" si="0" ref="H5:H11">N5+I5</f>
        <v>1250000</v>
      </c>
      <c r="I5" s="85">
        <f aca="true" t="shared" si="1" ref="I5:I11">IF(E5&gt;0,$N$13,0)+IF(C5&gt;0,50000,0)+IF(C13&lt;0,50000,0)</f>
        <v>50000</v>
      </c>
      <c r="J5" s="90" t="s">
        <v>9</v>
      </c>
      <c r="K5" s="91"/>
      <c r="L5" s="92"/>
      <c r="M5" s="75">
        <v>8</v>
      </c>
      <c r="N5" s="72">
        <f>N12*20%</f>
        <v>1200000</v>
      </c>
    </row>
    <row r="6" spans="1:14" s="73" customFormat="1" ht="18" customHeight="1">
      <c r="A6" s="120" t="s">
        <v>75</v>
      </c>
      <c r="B6" s="160">
        <v>16.7</v>
      </c>
      <c r="C6" s="71">
        <v>33</v>
      </c>
      <c r="D6" s="69">
        <v>33</v>
      </c>
      <c r="E6" s="77"/>
      <c r="F6" s="76">
        <v>3</v>
      </c>
      <c r="G6" s="76">
        <v>6</v>
      </c>
      <c r="H6" s="72">
        <f t="shared" si="0"/>
        <v>950000</v>
      </c>
      <c r="I6" s="85">
        <f t="shared" si="1"/>
        <v>50000</v>
      </c>
      <c r="J6" s="90" t="s">
        <v>10</v>
      </c>
      <c r="K6" s="91"/>
      <c r="L6" s="92"/>
      <c r="M6" s="75">
        <v>6</v>
      </c>
      <c r="N6" s="72">
        <f>N12*15%</f>
        <v>900000</v>
      </c>
    </row>
    <row r="7" spans="1:18" s="73" customFormat="1" ht="18" customHeight="1">
      <c r="A7" s="120" t="s">
        <v>117</v>
      </c>
      <c r="B7" s="160">
        <v>13.2</v>
      </c>
      <c r="C7" s="71">
        <v>31</v>
      </c>
      <c r="D7" s="69">
        <v>36</v>
      </c>
      <c r="E7" s="70"/>
      <c r="F7" s="71">
        <v>4</v>
      </c>
      <c r="G7" s="71">
        <v>5</v>
      </c>
      <c r="H7" s="72">
        <f t="shared" si="0"/>
        <v>770000</v>
      </c>
      <c r="I7" s="85">
        <f t="shared" si="1"/>
        <v>50000</v>
      </c>
      <c r="J7" s="90" t="s">
        <v>11</v>
      </c>
      <c r="K7" s="91"/>
      <c r="L7" s="92"/>
      <c r="M7" s="75">
        <v>5</v>
      </c>
      <c r="N7" s="72">
        <f>N12*12%</f>
        <v>720000</v>
      </c>
      <c r="O7" s="79"/>
      <c r="P7" s="79"/>
      <c r="Q7" s="79"/>
      <c r="R7" s="80"/>
    </row>
    <row r="8" spans="1:14" s="73" customFormat="1" ht="18" customHeight="1">
      <c r="A8" s="120" t="s">
        <v>65</v>
      </c>
      <c r="B8" s="160">
        <v>10.4</v>
      </c>
      <c r="C8" s="74">
        <v>28</v>
      </c>
      <c r="D8" s="69">
        <v>31</v>
      </c>
      <c r="E8" s="70"/>
      <c r="F8" s="71">
        <v>5</v>
      </c>
      <c r="G8" s="71">
        <v>4</v>
      </c>
      <c r="H8" s="72">
        <f t="shared" si="0"/>
        <v>650000</v>
      </c>
      <c r="I8" s="85">
        <f t="shared" si="1"/>
        <v>50000</v>
      </c>
      <c r="J8" s="90" t="s">
        <v>12</v>
      </c>
      <c r="K8" s="91"/>
      <c r="L8" s="92"/>
      <c r="M8" s="75">
        <v>4</v>
      </c>
      <c r="N8" s="72">
        <f>N12*10%</f>
        <v>600000</v>
      </c>
    </row>
    <row r="9" spans="1:14" s="73" customFormat="1" ht="18" customHeight="1">
      <c r="A9" s="120" t="s">
        <v>66</v>
      </c>
      <c r="B9" s="160">
        <v>24.2</v>
      </c>
      <c r="C9" s="71">
        <v>28</v>
      </c>
      <c r="D9" s="69">
        <v>41</v>
      </c>
      <c r="E9" s="70"/>
      <c r="F9" s="81">
        <v>6</v>
      </c>
      <c r="G9" s="81">
        <v>3</v>
      </c>
      <c r="H9" s="72">
        <f t="shared" si="0"/>
        <v>530000</v>
      </c>
      <c r="I9" s="85">
        <f t="shared" si="1"/>
        <v>50000</v>
      </c>
      <c r="J9" s="90" t="s">
        <v>13</v>
      </c>
      <c r="K9" s="91"/>
      <c r="L9" s="92"/>
      <c r="M9" s="75">
        <v>3</v>
      </c>
      <c r="N9" s="72">
        <f>N12*8%</f>
        <v>480000</v>
      </c>
    </row>
    <row r="10" spans="1:14" s="73" customFormat="1" ht="18" customHeight="1">
      <c r="A10" s="120" t="s">
        <v>111</v>
      </c>
      <c r="B10" s="160">
        <v>13.6</v>
      </c>
      <c r="C10" s="71">
        <v>27</v>
      </c>
      <c r="D10" s="77">
        <v>38</v>
      </c>
      <c r="E10" s="70"/>
      <c r="F10" s="71">
        <v>7</v>
      </c>
      <c r="G10" s="71">
        <v>2</v>
      </c>
      <c r="H10" s="72">
        <f t="shared" si="0"/>
        <v>410000</v>
      </c>
      <c r="I10" s="85">
        <f t="shared" si="1"/>
        <v>50000</v>
      </c>
      <c r="J10" s="90" t="s">
        <v>14</v>
      </c>
      <c r="K10" s="91"/>
      <c r="L10" s="92"/>
      <c r="M10" s="75">
        <v>2</v>
      </c>
      <c r="N10" s="72">
        <f>N12*6%</f>
        <v>360000</v>
      </c>
    </row>
    <row r="11" spans="1:14" s="73" customFormat="1" ht="18" customHeight="1">
      <c r="A11" s="120" t="s">
        <v>110</v>
      </c>
      <c r="B11" s="160">
        <v>15.8</v>
      </c>
      <c r="C11" s="74">
        <v>27</v>
      </c>
      <c r="D11" s="69">
        <v>39</v>
      </c>
      <c r="E11" s="70"/>
      <c r="F11" s="71">
        <v>8</v>
      </c>
      <c r="G11" s="71">
        <v>1</v>
      </c>
      <c r="H11" s="72">
        <f t="shared" si="0"/>
        <v>290000</v>
      </c>
      <c r="I11" s="85">
        <f t="shared" si="1"/>
        <v>50000</v>
      </c>
      <c r="J11" s="90" t="s">
        <v>15</v>
      </c>
      <c r="K11" s="91"/>
      <c r="L11" s="92"/>
      <c r="M11" s="75">
        <v>1</v>
      </c>
      <c r="N11" s="72">
        <f>N12*4%</f>
        <v>240000</v>
      </c>
    </row>
    <row r="12" spans="1:14" s="73" customFormat="1" ht="18" customHeight="1">
      <c r="A12" s="120" t="s">
        <v>72</v>
      </c>
      <c r="B12" s="160">
        <v>17.4</v>
      </c>
      <c r="C12" s="74">
        <v>26</v>
      </c>
      <c r="D12" s="69">
        <v>40</v>
      </c>
      <c r="E12" s="76"/>
      <c r="F12" s="68"/>
      <c r="G12" s="71"/>
      <c r="H12" s="72">
        <f>I12</f>
        <v>50000</v>
      </c>
      <c r="I12" s="85">
        <f>IF(E12&gt;0,$N$13,0)+IF(C12&gt;0,50000,0)+IF(C12&lt;0,50000,0)</f>
        <v>50000</v>
      </c>
      <c r="J12" s="93" t="s">
        <v>3</v>
      </c>
      <c r="K12" s="91"/>
      <c r="L12" s="92"/>
      <c r="M12" s="75"/>
      <c r="N12" s="82">
        <v>6000000</v>
      </c>
    </row>
    <row r="13" spans="1:14" s="73" customFormat="1" ht="18" customHeight="1">
      <c r="A13" s="120" t="s">
        <v>71</v>
      </c>
      <c r="B13" s="160">
        <v>6.4</v>
      </c>
      <c r="C13" s="74">
        <v>25</v>
      </c>
      <c r="D13" s="69">
        <v>34</v>
      </c>
      <c r="E13" s="70"/>
      <c r="F13" s="71"/>
      <c r="G13" s="71"/>
      <c r="H13" s="72">
        <f aca="true" t="shared" si="2" ref="H13:H27">I13</f>
        <v>50000</v>
      </c>
      <c r="I13" s="85">
        <f aca="true" t="shared" si="3" ref="I13:I27">IF(E13&gt;0,$N$13,0)+IF(C13&gt;0,50000,0)+IF(C13&lt;0,50000,0)</f>
        <v>50000</v>
      </c>
      <c r="J13" s="122" t="s">
        <v>62</v>
      </c>
      <c r="K13" s="123"/>
      <c r="L13" s="124"/>
      <c r="M13" s="125">
        <v>1</v>
      </c>
      <c r="N13" s="126">
        <f>N10</f>
        <v>360000</v>
      </c>
    </row>
    <row r="14" spans="1:14" s="73" customFormat="1" ht="18" customHeight="1">
      <c r="A14" s="120" t="s">
        <v>115</v>
      </c>
      <c r="B14" s="160">
        <v>14.1</v>
      </c>
      <c r="C14" s="77">
        <v>25</v>
      </c>
      <c r="D14" s="69">
        <v>34</v>
      </c>
      <c r="E14" s="70"/>
      <c r="F14" s="71"/>
      <c r="G14" s="71"/>
      <c r="H14" s="72">
        <f t="shared" si="2"/>
        <v>50000</v>
      </c>
      <c r="I14" s="85">
        <f t="shared" si="3"/>
        <v>50000</v>
      </c>
      <c r="J14" s="131"/>
      <c r="K14" s="123"/>
      <c r="L14" s="123"/>
      <c r="M14" s="132"/>
      <c r="N14" s="133"/>
    </row>
    <row r="15" spans="1:14" s="73" customFormat="1" ht="18" customHeight="1">
      <c r="A15" s="120" t="s">
        <v>76</v>
      </c>
      <c r="B15" s="160">
        <v>13.1</v>
      </c>
      <c r="C15" s="76">
        <v>23</v>
      </c>
      <c r="D15" s="69">
        <v>39</v>
      </c>
      <c r="E15" s="70"/>
      <c r="F15" s="71"/>
      <c r="G15" s="71"/>
      <c r="H15" s="72">
        <f t="shared" si="2"/>
        <v>50000</v>
      </c>
      <c r="I15" s="85">
        <f t="shared" si="3"/>
        <v>50000</v>
      </c>
      <c r="J15" s="127"/>
      <c r="K15" s="128"/>
      <c r="L15" s="128"/>
      <c r="M15" s="129"/>
      <c r="N15" s="130"/>
    </row>
    <row r="16" spans="1:9" s="73" customFormat="1" ht="18" customHeight="1">
      <c r="A16" s="120" t="s">
        <v>74</v>
      </c>
      <c r="B16" s="160">
        <v>17.2</v>
      </c>
      <c r="C16" s="71">
        <v>20</v>
      </c>
      <c r="D16" s="69">
        <v>44</v>
      </c>
      <c r="E16" s="70"/>
      <c r="F16" s="76"/>
      <c r="G16" s="76"/>
      <c r="H16" s="72">
        <f t="shared" si="2"/>
        <v>50000</v>
      </c>
      <c r="I16" s="85">
        <f t="shared" si="3"/>
        <v>50000</v>
      </c>
    </row>
    <row r="17" spans="1:18" s="73" customFormat="1" ht="18" customHeight="1">
      <c r="A17" s="120"/>
      <c r="B17" s="160"/>
      <c r="C17" s="71"/>
      <c r="D17" s="69"/>
      <c r="E17" s="70"/>
      <c r="F17" s="76"/>
      <c r="G17" s="76"/>
      <c r="H17" s="72">
        <f t="shared" si="2"/>
        <v>0</v>
      </c>
      <c r="I17" s="85">
        <f t="shared" si="3"/>
        <v>0</v>
      </c>
      <c r="O17" s="79"/>
      <c r="P17" s="79"/>
      <c r="Q17" s="79"/>
      <c r="R17" s="80"/>
    </row>
    <row r="18" spans="1:13" s="73" customFormat="1" ht="18" customHeight="1">
      <c r="A18" s="120"/>
      <c r="B18" s="160"/>
      <c r="C18" s="74"/>
      <c r="D18" s="77"/>
      <c r="E18" s="70"/>
      <c r="F18" s="71"/>
      <c r="G18" s="71"/>
      <c r="H18" s="72">
        <f t="shared" si="2"/>
        <v>0</v>
      </c>
      <c r="I18" s="85">
        <f t="shared" si="3"/>
        <v>0</v>
      </c>
      <c r="J18" s="80"/>
      <c r="K18" s="80"/>
      <c r="L18" s="80"/>
      <c r="M18" s="80"/>
    </row>
    <row r="19" spans="1:13" s="73" customFormat="1" ht="18" customHeight="1">
      <c r="A19" s="120"/>
      <c r="B19" s="160"/>
      <c r="C19" s="71"/>
      <c r="D19" s="69"/>
      <c r="E19" s="76"/>
      <c r="F19" s="71"/>
      <c r="G19" s="71"/>
      <c r="H19" s="72">
        <f t="shared" si="2"/>
        <v>0</v>
      </c>
      <c r="I19" s="85">
        <f t="shared" si="3"/>
        <v>0</v>
      </c>
      <c r="J19" s="80"/>
      <c r="K19" s="80"/>
      <c r="L19" s="80"/>
      <c r="M19" s="80"/>
    </row>
    <row r="20" spans="1:9" s="4" customFormat="1" ht="18" customHeight="1">
      <c r="A20" s="120"/>
      <c r="B20" s="160"/>
      <c r="C20" s="71"/>
      <c r="D20" s="69"/>
      <c r="E20" s="76"/>
      <c r="F20" s="76"/>
      <c r="G20" s="76"/>
      <c r="H20" s="72">
        <f t="shared" si="2"/>
        <v>0</v>
      </c>
      <c r="I20" s="85">
        <f t="shared" si="3"/>
        <v>0</v>
      </c>
    </row>
    <row r="21" spans="1:9" s="4" customFormat="1" ht="18" customHeight="1">
      <c r="A21" s="120"/>
      <c r="B21" s="159"/>
      <c r="C21" s="71"/>
      <c r="D21" s="69"/>
      <c r="E21" s="70"/>
      <c r="F21" s="76"/>
      <c r="G21" s="76"/>
      <c r="H21" s="72">
        <f t="shared" si="2"/>
        <v>0</v>
      </c>
      <c r="I21" s="85">
        <f t="shared" si="3"/>
        <v>0</v>
      </c>
    </row>
    <row r="22" spans="1:9" s="4" customFormat="1" ht="18" customHeight="1">
      <c r="A22" s="120"/>
      <c r="B22" s="159"/>
      <c r="C22" s="68"/>
      <c r="D22" s="77"/>
      <c r="E22" s="76"/>
      <c r="F22" s="76"/>
      <c r="G22" s="76"/>
      <c r="H22" s="72">
        <f t="shared" si="2"/>
        <v>0</v>
      </c>
      <c r="I22" s="85">
        <f t="shared" si="3"/>
        <v>0</v>
      </c>
    </row>
    <row r="23" spans="1:9" s="4" customFormat="1" ht="18" customHeight="1">
      <c r="A23" s="120"/>
      <c r="B23" s="159"/>
      <c r="C23" s="71"/>
      <c r="D23" s="77"/>
      <c r="E23" s="76"/>
      <c r="F23" s="76"/>
      <c r="G23" s="76"/>
      <c r="H23" s="72">
        <f t="shared" si="2"/>
        <v>0</v>
      </c>
      <c r="I23" s="85">
        <f t="shared" si="3"/>
        <v>0</v>
      </c>
    </row>
    <row r="24" spans="1:9" s="4" customFormat="1" ht="18" customHeight="1">
      <c r="A24" s="120"/>
      <c r="B24" s="159"/>
      <c r="C24" s="76"/>
      <c r="D24" s="77"/>
      <c r="E24" s="76"/>
      <c r="F24" s="76"/>
      <c r="G24" s="76"/>
      <c r="H24" s="72">
        <f t="shared" si="2"/>
        <v>0</v>
      </c>
      <c r="I24" s="85">
        <f t="shared" si="3"/>
        <v>0</v>
      </c>
    </row>
    <row r="25" spans="1:9" s="4" customFormat="1" ht="18" customHeight="1">
      <c r="A25" s="120"/>
      <c r="B25" s="159"/>
      <c r="C25" s="71"/>
      <c r="D25" s="77"/>
      <c r="E25" s="76"/>
      <c r="F25" s="76"/>
      <c r="G25" s="76"/>
      <c r="H25" s="72">
        <f t="shared" si="2"/>
        <v>0</v>
      </c>
      <c r="I25" s="85">
        <f t="shared" si="3"/>
        <v>0</v>
      </c>
    </row>
    <row r="26" spans="1:9" s="4" customFormat="1" ht="18" customHeight="1">
      <c r="A26" s="120"/>
      <c r="B26" s="159"/>
      <c r="C26" s="74"/>
      <c r="D26" s="77"/>
      <c r="E26" s="76"/>
      <c r="F26" s="71"/>
      <c r="G26" s="71"/>
      <c r="H26" s="72">
        <f t="shared" si="2"/>
        <v>0</v>
      </c>
      <c r="I26" s="85">
        <f t="shared" si="3"/>
        <v>0</v>
      </c>
    </row>
    <row r="27" spans="1:9" s="4" customFormat="1" ht="18" customHeight="1">
      <c r="A27" s="121"/>
      <c r="B27" s="67"/>
      <c r="C27" s="71"/>
      <c r="D27" s="69"/>
      <c r="E27" s="70"/>
      <c r="F27" s="71"/>
      <c r="G27" s="71"/>
      <c r="H27" s="72">
        <f t="shared" si="2"/>
        <v>0</v>
      </c>
      <c r="I27" s="85">
        <f t="shared" si="3"/>
        <v>0</v>
      </c>
    </row>
    <row r="28" spans="1:9" ht="24" customHeight="1" thickBot="1">
      <c r="A28" s="1"/>
      <c r="B28" s="2"/>
      <c r="C28" s="3"/>
      <c r="D28" s="2"/>
      <c r="E28" s="3"/>
      <c r="F28" s="2"/>
      <c r="G28" s="167">
        <f>SUM(G4:G27)</f>
        <v>39</v>
      </c>
      <c r="H28" s="167">
        <f>SUM(H4:H27)</f>
        <v>6650000</v>
      </c>
      <c r="I28" s="86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4330708661417323" right="0.4330708661417323" top="0.5511811023622047" bottom="0.5511811023622047" header="0.31496062992125984" footer="0.31496062992125984"/>
  <pageSetup fitToHeight="1" fitToWidth="1" orientation="landscape" paperSize="9" scale="88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N28" sqref="A1:N28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4" customFormat="1" ht="43.5" customHeight="1">
      <c r="B1" s="374" t="s">
        <v>112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2:14" s="4" customFormat="1" ht="29.25" customHeight="1">
      <c r="B2" s="375" t="s">
        <v>113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52</v>
      </c>
      <c r="F3" s="63" t="s">
        <v>6</v>
      </c>
      <c r="G3" s="64" t="s">
        <v>5</v>
      </c>
      <c r="H3" s="65" t="s">
        <v>51</v>
      </c>
      <c r="I3" s="66"/>
      <c r="J3" s="138" t="s">
        <v>6</v>
      </c>
      <c r="K3" s="134"/>
      <c r="L3" s="135"/>
      <c r="M3" s="136" t="s">
        <v>5</v>
      </c>
      <c r="N3" s="137" t="s">
        <v>4</v>
      </c>
    </row>
    <row r="4" spans="1:14" s="73" customFormat="1" ht="18" customHeight="1">
      <c r="A4" s="120" t="s">
        <v>119</v>
      </c>
      <c r="B4" s="160">
        <v>12</v>
      </c>
      <c r="C4" s="71">
        <v>38</v>
      </c>
      <c r="D4" s="69">
        <v>31</v>
      </c>
      <c r="E4" s="70">
        <v>1.59</v>
      </c>
      <c r="F4" s="71">
        <v>1</v>
      </c>
      <c r="G4" s="68">
        <v>10</v>
      </c>
      <c r="H4" s="72">
        <f>N4+I4</f>
        <v>1910000</v>
      </c>
      <c r="I4" s="85">
        <f>IF(E4&gt;0,$N$13,0)+IF(C4&gt;0,50000,0)+IF(C12&lt;0,50000,0)</f>
        <v>410000</v>
      </c>
      <c r="J4" s="87" t="s">
        <v>8</v>
      </c>
      <c r="K4" s="88"/>
      <c r="L4" s="89"/>
      <c r="M4" s="78">
        <v>10</v>
      </c>
      <c r="N4" s="72">
        <f>N12*25%</f>
        <v>1500000</v>
      </c>
    </row>
    <row r="5" spans="1:14" s="73" customFormat="1" ht="18" customHeight="1">
      <c r="A5" s="120" t="s">
        <v>78</v>
      </c>
      <c r="B5" s="160">
        <v>13.8</v>
      </c>
      <c r="C5" s="71">
        <v>37</v>
      </c>
      <c r="D5" s="69">
        <v>30</v>
      </c>
      <c r="E5" s="70"/>
      <c r="F5" s="71">
        <v>2</v>
      </c>
      <c r="G5" s="71">
        <v>8</v>
      </c>
      <c r="H5" s="72">
        <f aca="true" t="shared" si="0" ref="H5:H11">N5+I5</f>
        <v>1250000</v>
      </c>
      <c r="I5" s="85">
        <f aca="true" t="shared" si="1" ref="I5:I11">IF(E5&gt;0,$N$13,0)+IF(C5&gt;0,50000,0)+IF(C13&lt;0,50000,0)</f>
        <v>50000</v>
      </c>
      <c r="J5" s="90" t="s">
        <v>9</v>
      </c>
      <c r="K5" s="91"/>
      <c r="L5" s="92"/>
      <c r="M5" s="75">
        <v>8</v>
      </c>
      <c r="N5" s="72">
        <f>N12*20%</f>
        <v>1200000</v>
      </c>
    </row>
    <row r="6" spans="1:14" s="73" customFormat="1" ht="18" customHeight="1">
      <c r="A6" s="120" t="s">
        <v>77</v>
      </c>
      <c r="B6" s="160">
        <v>22.8</v>
      </c>
      <c r="C6" s="71">
        <v>33</v>
      </c>
      <c r="D6" s="69">
        <v>33</v>
      </c>
      <c r="E6" s="76"/>
      <c r="F6" s="76">
        <v>3</v>
      </c>
      <c r="G6" s="76">
        <v>6</v>
      </c>
      <c r="H6" s="72">
        <f t="shared" si="0"/>
        <v>950000</v>
      </c>
      <c r="I6" s="85">
        <f t="shared" si="1"/>
        <v>50000</v>
      </c>
      <c r="J6" s="90" t="s">
        <v>10</v>
      </c>
      <c r="K6" s="91"/>
      <c r="L6" s="92"/>
      <c r="M6" s="75">
        <v>6</v>
      </c>
      <c r="N6" s="72">
        <f>N12*15%</f>
        <v>900000</v>
      </c>
    </row>
    <row r="7" spans="1:18" s="73" customFormat="1" ht="18" customHeight="1">
      <c r="A7" s="120" t="s">
        <v>75</v>
      </c>
      <c r="B7" s="160">
        <v>16.7</v>
      </c>
      <c r="C7" s="71">
        <v>32</v>
      </c>
      <c r="D7" s="69">
        <v>32</v>
      </c>
      <c r="E7" s="70"/>
      <c r="F7" s="71">
        <v>4</v>
      </c>
      <c r="G7" s="71">
        <v>5</v>
      </c>
      <c r="H7" s="72">
        <f t="shared" si="0"/>
        <v>770000</v>
      </c>
      <c r="I7" s="85">
        <f t="shared" si="1"/>
        <v>50000</v>
      </c>
      <c r="J7" s="90" t="s">
        <v>11</v>
      </c>
      <c r="K7" s="91"/>
      <c r="L7" s="92"/>
      <c r="M7" s="75">
        <v>5</v>
      </c>
      <c r="N7" s="72">
        <f>N12*12%</f>
        <v>720000</v>
      </c>
      <c r="O7" s="79"/>
      <c r="P7" s="79"/>
      <c r="Q7" s="79"/>
      <c r="R7" s="80"/>
    </row>
    <row r="8" spans="1:14" s="73" customFormat="1" ht="18" customHeight="1">
      <c r="A8" s="120" t="s">
        <v>58</v>
      </c>
      <c r="B8" s="160">
        <v>7.2</v>
      </c>
      <c r="C8" s="71">
        <v>31</v>
      </c>
      <c r="D8" s="77">
        <v>30</v>
      </c>
      <c r="E8" s="76"/>
      <c r="F8" s="71">
        <v>5</v>
      </c>
      <c r="G8" s="71">
        <v>4</v>
      </c>
      <c r="H8" s="72">
        <f t="shared" si="0"/>
        <v>650000</v>
      </c>
      <c r="I8" s="85">
        <f t="shared" si="1"/>
        <v>50000</v>
      </c>
      <c r="J8" s="90" t="s">
        <v>12</v>
      </c>
      <c r="K8" s="91"/>
      <c r="L8" s="92"/>
      <c r="M8" s="75">
        <v>4</v>
      </c>
      <c r="N8" s="72">
        <f>N12*10%</f>
        <v>600000</v>
      </c>
    </row>
    <row r="9" spans="1:14" s="73" customFormat="1" ht="18" customHeight="1">
      <c r="A9" s="120" t="s">
        <v>65</v>
      </c>
      <c r="B9" s="160">
        <v>10.4</v>
      </c>
      <c r="C9" s="74">
        <v>30</v>
      </c>
      <c r="D9" s="69">
        <v>29</v>
      </c>
      <c r="E9" s="76"/>
      <c r="F9" s="81">
        <v>6</v>
      </c>
      <c r="G9" s="81">
        <v>3</v>
      </c>
      <c r="H9" s="72">
        <f t="shared" si="0"/>
        <v>530000</v>
      </c>
      <c r="I9" s="85">
        <f t="shared" si="1"/>
        <v>50000</v>
      </c>
      <c r="J9" s="90" t="s">
        <v>13</v>
      </c>
      <c r="K9" s="91"/>
      <c r="L9" s="92"/>
      <c r="M9" s="75">
        <v>3</v>
      </c>
      <c r="N9" s="72">
        <f>N12*8%</f>
        <v>480000</v>
      </c>
    </row>
    <row r="10" spans="1:14" s="73" customFormat="1" ht="18" customHeight="1">
      <c r="A10" s="120" t="s">
        <v>73</v>
      </c>
      <c r="B10" s="160">
        <v>14.8</v>
      </c>
      <c r="C10" s="71">
        <v>30</v>
      </c>
      <c r="D10" s="69">
        <v>30</v>
      </c>
      <c r="E10" s="70"/>
      <c r="F10" s="71">
        <v>7</v>
      </c>
      <c r="G10" s="71">
        <v>2</v>
      </c>
      <c r="H10" s="72">
        <f t="shared" si="0"/>
        <v>410000</v>
      </c>
      <c r="I10" s="85">
        <f t="shared" si="1"/>
        <v>50000</v>
      </c>
      <c r="J10" s="90" t="s">
        <v>14</v>
      </c>
      <c r="K10" s="91"/>
      <c r="L10" s="92"/>
      <c r="M10" s="75">
        <v>2</v>
      </c>
      <c r="N10" s="72">
        <f>N12*6%</f>
        <v>360000</v>
      </c>
    </row>
    <row r="11" spans="1:14" s="73" customFormat="1" ht="18" customHeight="1">
      <c r="A11" s="120" t="s">
        <v>110</v>
      </c>
      <c r="B11" s="160">
        <v>15.8</v>
      </c>
      <c r="C11" s="76">
        <v>28</v>
      </c>
      <c r="D11" s="69">
        <v>35</v>
      </c>
      <c r="E11" s="70"/>
      <c r="F11" s="71">
        <v>8</v>
      </c>
      <c r="G11" s="71">
        <v>1</v>
      </c>
      <c r="H11" s="72">
        <f t="shared" si="0"/>
        <v>290000</v>
      </c>
      <c r="I11" s="85">
        <f t="shared" si="1"/>
        <v>50000</v>
      </c>
      <c r="J11" s="90" t="s">
        <v>15</v>
      </c>
      <c r="K11" s="91"/>
      <c r="L11" s="92"/>
      <c r="M11" s="75">
        <v>1</v>
      </c>
      <c r="N11" s="72">
        <f>N12*4%</f>
        <v>240000</v>
      </c>
    </row>
    <row r="12" spans="1:14" s="73" customFormat="1" ht="18" customHeight="1">
      <c r="A12" s="120" t="s">
        <v>74</v>
      </c>
      <c r="B12" s="160">
        <v>17.2</v>
      </c>
      <c r="C12" s="74">
        <v>28</v>
      </c>
      <c r="D12" s="69">
        <v>36</v>
      </c>
      <c r="E12" s="81"/>
      <c r="F12" s="68"/>
      <c r="G12" s="71"/>
      <c r="H12" s="72">
        <f>I12</f>
        <v>50000</v>
      </c>
      <c r="I12" s="85">
        <f>IF(E12&gt;0,$N$13,0)+IF(C12&gt;0,50000,0)+IF(C12&lt;0,50000,0)</f>
        <v>50000</v>
      </c>
      <c r="J12" s="93" t="s">
        <v>3</v>
      </c>
      <c r="K12" s="91"/>
      <c r="L12" s="92"/>
      <c r="M12" s="75"/>
      <c r="N12" s="82">
        <v>6000000</v>
      </c>
    </row>
    <row r="13" spans="1:14" s="73" customFormat="1" ht="18" customHeight="1">
      <c r="A13" s="120" t="s">
        <v>66</v>
      </c>
      <c r="B13" s="160">
        <v>24.2</v>
      </c>
      <c r="C13" s="77">
        <v>28</v>
      </c>
      <c r="D13" s="69">
        <v>36</v>
      </c>
      <c r="E13" s="76"/>
      <c r="F13" s="71"/>
      <c r="G13" s="71"/>
      <c r="H13" s="72">
        <f aca="true" t="shared" si="2" ref="H13:H27">I13</f>
        <v>50000</v>
      </c>
      <c r="I13" s="85">
        <f aca="true" t="shared" si="3" ref="I13:I27">IF(E13&gt;0,$N$13,0)+IF(C13&gt;0,50000,0)+IF(C13&lt;0,50000,0)</f>
        <v>50000</v>
      </c>
      <c r="J13" s="122" t="s">
        <v>62</v>
      </c>
      <c r="K13" s="123"/>
      <c r="L13" s="124"/>
      <c r="M13" s="125">
        <v>1</v>
      </c>
      <c r="N13" s="126">
        <f>N10</f>
        <v>360000</v>
      </c>
    </row>
    <row r="14" spans="1:14" s="73" customFormat="1" ht="18" customHeight="1">
      <c r="A14" s="120" t="s">
        <v>61</v>
      </c>
      <c r="B14" s="160">
        <v>21.9</v>
      </c>
      <c r="C14" s="71">
        <v>27</v>
      </c>
      <c r="D14" s="69">
        <v>35</v>
      </c>
      <c r="E14" s="70"/>
      <c r="F14" s="71"/>
      <c r="G14" s="71"/>
      <c r="H14" s="72">
        <f t="shared" si="2"/>
        <v>50000</v>
      </c>
      <c r="I14" s="85">
        <f t="shared" si="3"/>
        <v>50000</v>
      </c>
      <c r="J14" s="131"/>
      <c r="K14" s="123"/>
      <c r="L14" s="123"/>
      <c r="M14" s="132"/>
      <c r="N14" s="133"/>
    </row>
    <row r="15" spans="1:14" s="73" customFormat="1" ht="18" customHeight="1">
      <c r="A15" s="120" t="s">
        <v>111</v>
      </c>
      <c r="B15" s="160">
        <v>13.6</v>
      </c>
      <c r="C15" s="74">
        <v>26</v>
      </c>
      <c r="D15" s="69">
        <v>33</v>
      </c>
      <c r="E15" s="76"/>
      <c r="F15" s="71"/>
      <c r="G15" s="71"/>
      <c r="H15" s="72">
        <f t="shared" si="2"/>
        <v>50000</v>
      </c>
      <c r="I15" s="85">
        <f t="shared" si="3"/>
        <v>50000</v>
      </c>
      <c r="J15" s="127"/>
      <c r="K15" s="128"/>
      <c r="L15" s="128"/>
      <c r="M15" s="129"/>
      <c r="N15" s="130"/>
    </row>
    <row r="16" spans="1:9" s="73" customFormat="1" ht="18" customHeight="1">
      <c r="A16" s="120" t="s">
        <v>117</v>
      </c>
      <c r="B16" s="160">
        <v>13.2</v>
      </c>
      <c r="C16" s="71">
        <v>25</v>
      </c>
      <c r="D16" s="77">
        <v>36</v>
      </c>
      <c r="E16" s="76"/>
      <c r="F16" s="76"/>
      <c r="G16" s="76"/>
      <c r="H16" s="72">
        <f t="shared" si="2"/>
        <v>50000</v>
      </c>
      <c r="I16" s="85">
        <f t="shared" si="3"/>
        <v>50000</v>
      </c>
    </row>
    <row r="17" spans="1:18" s="73" customFormat="1" ht="18" customHeight="1">
      <c r="A17" s="120" t="s">
        <v>115</v>
      </c>
      <c r="B17" s="160">
        <v>14.1</v>
      </c>
      <c r="C17" s="74">
        <v>25</v>
      </c>
      <c r="D17" s="69">
        <v>35</v>
      </c>
      <c r="E17" s="70"/>
      <c r="F17" s="76"/>
      <c r="G17" s="76"/>
      <c r="H17" s="72">
        <f t="shared" si="2"/>
        <v>50000</v>
      </c>
      <c r="I17" s="85">
        <f t="shared" si="3"/>
        <v>50000</v>
      </c>
      <c r="O17" s="79"/>
      <c r="P17" s="79"/>
      <c r="Q17" s="79"/>
      <c r="R17" s="80"/>
    </row>
    <row r="18" spans="1:18" s="73" customFormat="1" ht="18" customHeight="1">
      <c r="A18" s="120" t="s">
        <v>118</v>
      </c>
      <c r="B18" s="160">
        <v>22</v>
      </c>
      <c r="C18" s="68">
        <v>25</v>
      </c>
      <c r="D18" s="77">
        <v>42</v>
      </c>
      <c r="E18" s="76"/>
      <c r="F18" s="71"/>
      <c r="G18" s="71"/>
      <c r="H18" s="72">
        <f t="shared" si="2"/>
        <v>50000</v>
      </c>
      <c r="I18" s="85">
        <f t="shared" si="3"/>
        <v>50000</v>
      </c>
      <c r="J18" s="8"/>
      <c r="K18" s="8"/>
      <c r="L18" s="8"/>
      <c r="M18" s="8"/>
      <c r="N18" s="8"/>
      <c r="O18" s="80"/>
      <c r="P18" s="80"/>
      <c r="Q18" s="80"/>
      <c r="R18" s="80"/>
    </row>
    <row r="19" spans="1:18" s="73" customFormat="1" ht="18" customHeight="1">
      <c r="A19" s="120" t="s">
        <v>59</v>
      </c>
      <c r="B19" s="160">
        <v>17.8</v>
      </c>
      <c r="C19" s="71">
        <v>24</v>
      </c>
      <c r="D19" s="77">
        <v>39</v>
      </c>
      <c r="E19" s="70"/>
      <c r="F19" s="71"/>
      <c r="G19" s="71"/>
      <c r="H19" s="72">
        <f t="shared" si="2"/>
        <v>50000</v>
      </c>
      <c r="I19" s="85">
        <f t="shared" si="3"/>
        <v>50000</v>
      </c>
      <c r="J19" s="8"/>
      <c r="K19" s="8"/>
      <c r="L19" s="8"/>
      <c r="M19" s="8"/>
      <c r="N19" s="8"/>
      <c r="O19" s="80"/>
      <c r="P19" s="80"/>
      <c r="Q19" s="80"/>
      <c r="R19" s="80"/>
    </row>
    <row r="20" spans="1:14" s="4" customFormat="1" ht="18" customHeight="1">
      <c r="A20" s="120"/>
      <c r="B20" s="160"/>
      <c r="C20" s="71"/>
      <c r="D20" s="77"/>
      <c r="E20" s="70"/>
      <c r="F20" s="76"/>
      <c r="G20" s="76"/>
      <c r="H20" s="72">
        <f t="shared" si="2"/>
        <v>0</v>
      </c>
      <c r="I20" s="85">
        <f t="shared" si="3"/>
        <v>0</v>
      </c>
      <c r="J20" s="8"/>
      <c r="K20" s="8"/>
      <c r="L20" s="8"/>
      <c r="M20" s="8"/>
      <c r="N20" s="8"/>
    </row>
    <row r="21" spans="1:14" s="4" customFormat="1" ht="18" customHeight="1">
      <c r="A21" s="120"/>
      <c r="B21" s="160"/>
      <c r="C21" s="71"/>
      <c r="D21" s="69"/>
      <c r="E21" s="70"/>
      <c r="F21" s="76"/>
      <c r="G21" s="76"/>
      <c r="H21" s="72">
        <f t="shared" si="2"/>
        <v>0</v>
      </c>
      <c r="I21" s="85">
        <f t="shared" si="3"/>
        <v>0</v>
      </c>
      <c r="J21" s="8"/>
      <c r="K21" s="8"/>
      <c r="L21" s="8"/>
      <c r="M21" s="8"/>
      <c r="N21" s="8"/>
    </row>
    <row r="22" spans="1:14" s="4" customFormat="1" ht="18" customHeight="1">
      <c r="A22" s="120"/>
      <c r="B22" s="160"/>
      <c r="C22" s="71"/>
      <c r="D22" s="69"/>
      <c r="E22" s="70"/>
      <c r="F22" s="76"/>
      <c r="G22" s="76"/>
      <c r="H22" s="72">
        <f t="shared" si="2"/>
        <v>0</v>
      </c>
      <c r="I22" s="85">
        <f t="shared" si="3"/>
        <v>0</v>
      </c>
      <c r="J22" s="8"/>
      <c r="K22" s="8"/>
      <c r="L22" s="8"/>
      <c r="M22" s="8"/>
      <c r="N22" s="8"/>
    </row>
    <row r="23" spans="1:14" s="4" customFormat="1" ht="18" customHeight="1">
      <c r="A23" s="120"/>
      <c r="B23" s="160"/>
      <c r="C23" s="76"/>
      <c r="D23" s="77"/>
      <c r="E23" s="70"/>
      <c r="F23" s="76"/>
      <c r="G23" s="76"/>
      <c r="H23" s="72">
        <f t="shared" si="2"/>
        <v>0</v>
      </c>
      <c r="I23" s="85">
        <f t="shared" si="3"/>
        <v>0</v>
      </c>
      <c r="J23" s="8"/>
      <c r="K23" s="8"/>
      <c r="L23" s="8"/>
      <c r="M23" s="8"/>
      <c r="N23" s="8"/>
    </row>
    <row r="24" spans="1:14" s="4" customFormat="1" ht="18" customHeight="1">
      <c r="A24" s="120"/>
      <c r="B24" s="160"/>
      <c r="C24" s="74"/>
      <c r="D24" s="77"/>
      <c r="E24" s="70"/>
      <c r="F24" s="76"/>
      <c r="G24" s="76"/>
      <c r="H24" s="72">
        <f t="shared" si="2"/>
        <v>0</v>
      </c>
      <c r="I24" s="85">
        <f t="shared" si="3"/>
        <v>0</v>
      </c>
      <c r="J24" s="8"/>
      <c r="K24" s="8"/>
      <c r="L24" s="8"/>
      <c r="M24" s="8"/>
      <c r="N24" s="8"/>
    </row>
    <row r="25" spans="1:14" s="4" customFormat="1" ht="18" customHeight="1">
      <c r="A25" s="120"/>
      <c r="B25" s="160"/>
      <c r="C25" s="71"/>
      <c r="D25" s="69"/>
      <c r="E25" s="70"/>
      <c r="F25" s="76"/>
      <c r="G25" s="76"/>
      <c r="H25" s="72">
        <f t="shared" si="2"/>
        <v>0</v>
      </c>
      <c r="I25" s="85">
        <f t="shared" si="3"/>
        <v>0</v>
      </c>
      <c r="J25" s="8"/>
      <c r="K25" s="8"/>
      <c r="L25" s="8"/>
      <c r="M25" s="8"/>
      <c r="N25" s="8"/>
    </row>
    <row r="26" spans="1:14" s="4" customFormat="1" ht="18" customHeight="1">
      <c r="A26" s="120"/>
      <c r="B26" s="160"/>
      <c r="C26" s="71"/>
      <c r="D26" s="69"/>
      <c r="E26" s="70"/>
      <c r="F26" s="71"/>
      <c r="G26" s="71"/>
      <c r="H26" s="72">
        <f t="shared" si="2"/>
        <v>0</v>
      </c>
      <c r="I26" s="85">
        <f t="shared" si="3"/>
        <v>0</v>
      </c>
      <c r="J26" s="8"/>
      <c r="K26" s="8"/>
      <c r="L26" s="8"/>
      <c r="M26" s="8"/>
      <c r="N26" s="8"/>
    </row>
    <row r="27" spans="1:14" s="4" customFormat="1" ht="18" customHeight="1">
      <c r="A27" s="120"/>
      <c r="B27" s="160"/>
      <c r="C27" s="74"/>
      <c r="D27" s="77"/>
      <c r="E27" s="76"/>
      <c r="F27" s="71"/>
      <c r="G27" s="71"/>
      <c r="H27" s="72">
        <f t="shared" si="2"/>
        <v>0</v>
      </c>
      <c r="I27" s="85">
        <f t="shared" si="3"/>
        <v>0</v>
      </c>
      <c r="J27" s="8"/>
      <c r="K27" s="8"/>
      <c r="L27" s="8"/>
      <c r="M27" s="8"/>
      <c r="N27" s="8"/>
    </row>
    <row r="28" spans="1:9" ht="24" customHeight="1" thickBot="1">
      <c r="A28" s="1"/>
      <c r="B28" s="2"/>
      <c r="C28" s="3"/>
      <c r="D28" s="2"/>
      <c r="E28" s="3"/>
      <c r="F28" s="2"/>
      <c r="G28" s="167">
        <f>SUM(G4:G27)</f>
        <v>39</v>
      </c>
      <c r="H28" s="167">
        <f>SUM(H4:H27)</f>
        <v>7160000</v>
      </c>
      <c r="I28" s="86"/>
    </row>
    <row r="29" ht="18" thickTop="1"/>
  </sheetData>
  <sheetProtection/>
  <mergeCells count="2">
    <mergeCell ref="B2:N2"/>
    <mergeCell ref="B1:N1"/>
  </mergeCells>
  <printOptions horizontalCentered="1" verticalCentered="1"/>
  <pageMargins left="0.4330708661417323" right="0.4330708661417323" top="0.5511811023622047" bottom="0.5511811023622047" header="0.31496062992125984" footer="0.31496062992125984"/>
  <pageSetup fitToHeight="1" fitToWidth="1" orientation="landscape" paperSize="9" scale="88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N28" sqref="A1:N28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4" customFormat="1" ht="43.5" customHeight="1">
      <c r="B1" s="374" t="s">
        <v>69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2:14" s="4" customFormat="1" ht="29.25" customHeight="1">
      <c r="B2" s="375" t="s">
        <v>114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52</v>
      </c>
      <c r="F3" s="63" t="s">
        <v>6</v>
      </c>
      <c r="G3" s="64" t="s">
        <v>5</v>
      </c>
      <c r="H3" s="65" t="s">
        <v>51</v>
      </c>
      <c r="I3" s="66"/>
      <c r="J3" s="138" t="s">
        <v>6</v>
      </c>
      <c r="K3" s="134"/>
      <c r="L3" s="135"/>
      <c r="M3" s="136" t="s">
        <v>5</v>
      </c>
      <c r="N3" s="137" t="s">
        <v>4</v>
      </c>
    </row>
    <row r="4" spans="1:14" s="73" customFormat="1" ht="18" customHeight="1">
      <c r="A4" s="120" t="s">
        <v>59</v>
      </c>
      <c r="B4" s="160">
        <v>17.8</v>
      </c>
      <c r="C4" s="74">
        <v>37</v>
      </c>
      <c r="D4" s="69">
        <v>30</v>
      </c>
      <c r="E4" s="70"/>
      <c r="F4" s="71">
        <v>1</v>
      </c>
      <c r="G4" s="68">
        <v>10</v>
      </c>
      <c r="H4" s="72">
        <f>N4+I4</f>
        <v>2050000</v>
      </c>
      <c r="I4" s="85">
        <f>IF(E4&gt;0,$N$13,0)+IF(C4&gt;0,50000,0)+IF(C12&lt;0,50000,0)</f>
        <v>50000</v>
      </c>
      <c r="J4" s="87" t="s">
        <v>8</v>
      </c>
      <c r="K4" s="88"/>
      <c r="L4" s="89"/>
      <c r="M4" s="78">
        <v>10</v>
      </c>
      <c r="N4" s="72">
        <f>N12*25%</f>
        <v>2000000</v>
      </c>
    </row>
    <row r="5" spans="1:14" s="73" customFormat="1" ht="18" customHeight="1">
      <c r="A5" s="120" t="s">
        <v>118</v>
      </c>
      <c r="B5" s="160">
        <v>22</v>
      </c>
      <c r="C5" s="71">
        <v>36</v>
      </c>
      <c r="D5" s="77">
        <v>30</v>
      </c>
      <c r="E5" s="70"/>
      <c r="F5" s="71">
        <v>2</v>
      </c>
      <c r="G5" s="71">
        <v>8</v>
      </c>
      <c r="H5" s="72">
        <f aca="true" t="shared" si="0" ref="H5:H11">N5+I5</f>
        <v>1650000</v>
      </c>
      <c r="I5" s="85">
        <f aca="true" t="shared" si="1" ref="I5:I11">IF(E5&gt;0,$N$13,0)+IF(C5&gt;0,50000,0)+IF(C13&lt;0,50000,0)</f>
        <v>50000</v>
      </c>
      <c r="J5" s="90" t="s">
        <v>9</v>
      </c>
      <c r="K5" s="91"/>
      <c r="L5" s="92"/>
      <c r="M5" s="75">
        <v>8</v>
      </c>
      <c r="N5" s="72">
        <f>N12*20%</f>
        <v>1600000</v>
      </c>
    </row>
    <row r="6" spans="1:14" s="73" customFormat="1" ht="18" customHeight="1">
      <c r="A6" s="120" t="s">
        <v>61</v>
      </c>
      <c r="B6" s="160">
        <v>21.9</v>
      </c>
      <c r="C6" s="71">
        <v>34</v>
      </c>
      <c r="D6" s="69">
        <v>34</v>
      </c>
      <c r="E6" s="70"/>
      <c r="F6" s="76">
        <v>3</v>
      </c>
      <c r="G6" s="76">
        <v>6</v>
      </c>
      <c r="H6" s="72">
        <f t="shared" si="0"/>
        <v>1250000</v>
      </c>
      <c r="I6" s="85">
        <f t="shared" si="1"/>
        <v>50000</v>
      </c>
      <c r="J6" s="90" t="s">
        <v>10</v>
      </c>
      <c r="K6" s="91"/>
      <c r="L6" s="92"/>
      <c r="M6" s="75">
        <v>6</v>
      </c>
      <c r="N6" s="72">
        <f>N12*15%</f>
        <v>1200000</v>
      </c>
    </row>
    <row r="7" spans="1:18" s="73" customFormat="1" ht="18" customHeight="1">
      <c r="A7" s="120" t="s">
        <v>110</v>
      </c>
      <c r="B7" s="160">
        <v>15.8</v>
      </c>
      <c r="C7" s="74">
        <v>33</v>
      </c>
      <c r="D7" s="69">
        <v>27</v>
      </c>
      <c r="E7" s="70"/>
      <c r="F7" s="71">
        <v>4</v>
      </c>
      <c r="G7" s="71">
        <v>5</v>
      </c>
      <c r="H7" s="72">
        <f t="shared" si="0"/>
        <v>1010000</v>
      </c>
      <c r="I7" s="85">
        <f t="shared" si="1"/>
        <v>50000</v>
      </c>
      <c r="J7" s="90" t="s">
        <v>11</v>
      </c>
      <c r="K7" s="91"/>
      <c r="L7" s="92"/>
      <c r="M7" s="75">
        <v>5</v>
      </c>
      <c r="N7" s="72">
        <f>N12*12%</f>
        <v>960000</v>
      </c>
      <c r="O7" s="79"/>
      <c r="P7" s="79"/>
      <c r="Q7" s="79"/>
      <c r="R7" s="80"/>
    </row>
    <row r="8" spans="1:14" s="73" customFormat="1" ht="18" customHeight="1">
      <c r="A8" s="120" t="s">
        <v>116</v>
      </c>
      <c r="B8" s="160">
        <v>17.2</v>
      </c>
      <c r="C8" s="77">
        <v>31</v>
      </c>
      <c r="D8" s="69">
        <v>33</v>
      </c>
      <c r="E8" s="70"/>
      <c r="F8" s="71">
        <v>5</v>
      </c>
      <c r="G8" s="71">
        <v>4</v>
      </c>
      <c r="H8" s="72">
        <f t="shared" si="0"/>
        <v>850000</v>
      </c>
      <c r="I8" s="85">
        <f t="shared" si="1"/>
        <v>50000</v>
      </c>
      <c r="J8" s="90" t="s">
        <v>12</v>
      </c>
      <c r="K8" s="91"/>
      <c r="L8" s="92"/>
      <c r="M8" s="75">
        <v>4</v>
      </c>
      <c r="N8" s="72">
        <f>N12*10%</f>
        <v>800000</v>
      </c>
    </row>
    <row r="9" spans="1:14" s="73" customFormat="1" ht="18" customHeight="1">
      <c r="A9" s="120" t="s">
        <v>65</v>
      </c>
      <c r="B9" s="160">
        <v>10.4</v>
      </c>
      <c r="C9" s="71">
        <v>30</v>
      </c>
      <c r="D9" s="77">
        <v>32</v>
      </c>
      <c r="E9" s="70"/>
      <c r="F9" s="81">
        <v>6</v>
      </c>
      <c r="G9" s="81">
        <v>3</v>
      </c>
      <c r="H9" s="72">
        <f t="shared" si="0"/>
        <v>690000</v>
      </c>
      <c r="I9" s="85">
        <f t="shared" si="1"/>
        <v>50000</v>
      </c>
      <c r="J9" s="90" t="s">
        <v>13</v>
      </c>
      <c r="K9" s="91"/>
      <c r="L9" s="92"/>
      <c r="M9" s="75">
        <v>3</v>
      </c>
      <c r="N9" s="72">
        <f>N12*8%</f>
        <v>640000</v>
      </c>
    </row>
    <row r="10" spans="1:14" s="73" customFormat="1" ht="18" customHeight="1">
      <c r="A10" s="120" t="s">
        <v>71</v>
      </c>
      <c r="B10" s="160">
        <v>6.4</v>
      </c>
      <c r="C10" s="71">
        <v>28</v>
      </c>
      <c r="D10" s="69">
        <v>30</v>
      </c>
      <c r="E10" s="70"/>
      <c r="F10" s="71">
        <v>7</v>
      </c>
      <c r="G10" s="71">
        <v>2</v>
      </c>
      <c r="H10" s="72">
        <f t="shared" si="0"/>
        <v>530000</v>
      </c>
      <c r="I10" s="85">
        <f t="shared" si="1"/>
        <v>50000</v>
      </c>
      <c r="J10" s="90" t="s">
        <v>14</v>
      </c>
      <c r="K10" s="91"/>
      <c r="L10" s="92"/>
      <c r="M10" s="75">
        <v>2</v>
      </c>
      <c r="N10" s="72">
        <f>N12*6%</f>
        <v>480000</v>
      </c>
    </row>
    <row r="11" spans="1:14" s="73" customFormat="1" ht="18" customHeight="1">
      <c r="A11" s="120" t="s">
        <v>74</v>
      </c>
      <c r="B11" s="160">
        <v>17.2</v>
      </c>
      <c r="C11" s="71">
        <v>28</v>
      </c>
      <c r="D11" s="69">
        <v>35</v>
      </c>
      <c r="E11" s="76"/>
      <c r="F11" s="71">
        <v>8</v>
      </c>
      <c r="G11" s="71">
        <v>1</v>
      </c>
      <c r="H11" s="72">
        <f t="shared" si="0"/>
        <v>370000</v>
      </c>
      <c r="I11" s="85">
        <f t="shared" si="1"/>
        <v>50000</v>
      </c>
      <c r="J11" s="90" t="s">
        <v>15</v>
      </c>
      <c r="K11" s="91"/>
      <c r="L11" s="92"/>
      <c r="M11" s="75">
        <v>1</v>
      </c>
      <c r="N11" s="72">
        <f>N12*4%</f>
        <v>320000</v>
      </c>
    </row>
    <row r="12" spans="1:14" s="73" customFormat="1" ht="18" customHeight="1">
      <c r="A12" s="120" t="s">
        <v>58</v>
      </c>
      <c r="B12" s="160">
        <v>7.2</v>
      </c>
      <c r="C12" s="74">
        <v>24</v>
      </c>
      <c r="D12" s="77">
        <v>35</v>
      </c>
      <c r="E12" s="76"/>
      <c r="F12" s="68"/>
      <c r="G12" s="71"/>
      <c r="H12" s="72">
        <f>I12</f>
        <v>50000</v>
      </c>
      <c r="I12" s="85">
        <f>IF(E12&gt;0,$N$13,0)+IF(C12&gt;0,50000,0)+IF(C12&lt;0,50000,0)</f>
        <v>50000</v>
      </c>
      <c r="J12" s="93" t="s">
        <v>3</v>
      </c>
      <c r="K12" s="91"/>
      <c r="L12" s="92"/>
      <c r="M12" s="75"/>
      <c r="N12" s="82">
        <v>8000000</v>
      </c>
    </row>
    <row r="13" spans="1:14" s="73" customFormat="1" ht="18" customHeight="1">
      <c r="A13" s="120"/>
      <c r="B13" s="160"/>
      <c r="C13" s="71"/>
      <c r="D13" s="69"/>
      <c r="E13" s="76"/>
      <c r="F13" s="71"/>
      <c r="G13" s="71"/>
      <c r="H13" s="72">
        <f aca="true" t="shared" si="2" ref="H13:H27">I13</f>
        <v>0</v>
      </c>
      <c r="I13" s="85">
        <f aca="true" t="shared" si="3" ref="I13:I27">IF(E13&gt;0,$N$13,0)+IF(C13&gt;0,50000,0)+IF(C13&lt;0,50000,0)</f>
        <v>0</v>
      </c>
      <c r="J13" s="122" t="s">
        <v>62</v>
      </c>
      <c r="K13" s="123"/>
      <c r="L13" s="124"/>
      <c r="M13" s="125">
        <v>1</v>
      </c>
      <c r="N13" s="126">
        <f>N10</f>
        <v>480000</v>
      </c>
    </row>
    <row r="14" spans="1:14" s="73" customFormat="1" ht="18" customHeight="1">
      <c r="A14" s="120"/>
      <c r="B14" s="160"/>
      <c r="C14" s="76"/>
      <c r="D14" s="69"/>
      <c r="E14" s="70"/>
      <c r="F14" s="71"/>
      <c r="G14" s="71"/>
      <c r="H14" s="72">
        <f t="shared" si="2"/>
        <v>0</v>
      </c>
      <c r="I14" s="85">
        <f t="shared" si="3"/>
        <v>0</v>
      </c>
      <c r="J14" s="131"/>
      <c r="K14" s="123"/>
      <c r="L14" s="123"/>
      <c r="M14" s="132"/>
      <c r="N14" s="133"/>
    </row>
    <row r="15" spans="1:14" s="73" customFormat="1" ht="18" customHeight="1">
      <c r="A15" s="120"/>
      <c r="B15" s="160"/>
      <c r="C15" s="71"/>
      <c r="D15" s="69"/>
      <c r="E15" s="70"/>
      <c r="F15" s="71"/>
      <c r="G15" s="71"/>
      <c r="H15" s="72">
        <f t="shared" si="2"/>
        <v>0</v>
      </c>
      <c r="I15" s="85">
        <f t="shared" si="3"/>
        <v>0</v>
      </c>
      <c r="J15" s="127"/>
      <c r="K15" s="128"/>
      <c r="L15" s="128"/>
      <c r="M15" s="129"/>
      <c r="N15" s="130"/>
    </row>
    <row r="16" spans="1:9" s="73" customFormat="1" ht="18" customHeight="1">
      <c r="A16" s="120"/>
      <c r="B16" s="160"/>
      <c r="C16" s="71"/>
      <c r="D16" s="69"/>
      <c r="E16" s="70"/>
      <c r="F16" s="76"/>
      <c r="G16" s="76"/>
      <c r="H16" s="72">
        <f t="shared" si="2"/>
        <v>0</v>
      </c>
      <c r="I16" s="85">
        <f t="shared" si="3"/>
        <v>0</v>
      </c>
    </row>
    <row r="17" spans="1:18" s="73" customFormat="1" ht="18" customHeight="1">
      <c r="A17" s="120"/>
      <c r="B17" s="160"/>
      <c r="C17" s="74"/>
      <c r="D17" s="77"/>
      <c r="E17" s="81"/>
      <c r="F17" s="76"/>
      <c r="G17" s="76"/>
      <c r="H17" s="72">
        <f t="shared" si="2"/>
        <v>0</v>
      </c>
      <c r="I17" s="85">
        <f t="shared" si="3"/>
        <v>0</v>
      </c>
      <c r="O17" s="79"/>
      <c r="P17" s="79"/>
      <c r="Q17" s="79"/>
      <c r="R17" s="80"/>
    </row>
    <row r="18" spans="1:13" s="73" customFormat="1" ht="18" customHeight="1">
      <c r="A18" s="120"/>
      <c r="B18" s="160"/>
      <c r="C18" s="71"/>
      <c r="D18" s="77"/>
      <c r="E18" s="70"/>
      <c r="F18" s="71"/>
      <c r="G18" s="71"/>
      <c r="H18" s="72">
        <f t="shared" si="2"/>
        <v>0</v>
      </c>
      <c r="I18" s="85">
        <f t="shared" si="3"/>
        <v>0</v>
      </c>
      <c r="J18" s="80"/>
      <c r="K18" s="80"/>
      <c r="L18" s="80"/>
      <c r="M18" s="80"/>
    </row>
    <row r="19" spans="1:13" s="73" customFormat="1" ht="18" customHeight="1">
      <c r="A19" s="120"/>
      <c r="B19" s="160"/>
      <c r="C19" s="74"/>
      <c r="D19" s="69"/>
      <c r="E19" s="70"/>
      <c r="F19" s="71"/>
      <c r="G19" s="71"/>
      <c r="H19" s="72">
        <f t="shared" si="2"/>
        <v>0</v>
      </c>
      <c r="I19" s="85">
        <f t="shared" si="3"/>
        <v>0</v>
      </c>
      <c r="J19" s="80"/>
      <c r="K19" s="80"/>
      <c r="L19" s="80"/>
      <c r="M19" s="80"/>
    </row>
    <row r="20" spans="1:9" s="4" customFormat="1" ht="18" customHeight="1">
      <c r="A20" s="120"/>
      <c r="B20" s="160"/>
      <c r="C20" s="74"/>
      <c r="D20" s="69"/>
      <c r="E20" s="76"/>
      <c r="F20" s="76"/>
      <c r="G20" s="76"/>
      <c r="H20" s="72">
        <f t="shared" si="2"/>
        <v>0</v>
      </c>
      <c r="I20" s="85">
        <f t="shared" si="3"/>
        <v>0</v>
      </c>
    </row>
    <row r="21" spans="1:9" s="4" customFormat="1" ht="18" customHeight="1">
      <c r="A21" s="120"/>
      <c r="B21" s="160"/>
      <c r="C21" s="71"/>
      <c r="D21" s="69"/>
      <c r="E21" s="70"/>
      <c r="F21" s="76"/>
      <c r="G21" s="76"/>
      <c r="H21" s="72">
        <f t="shared" si="2"/>
        <v>0</v>
      </c>
      <c r="I21" s="85">
        <f t="shared" si="3"/>
        <v>0</v>
      </c>
    </row>
    <row r="22" spans="1:9" s="4" customFormat="1" ht="18" customHeight="1">
      <c r="A22" s="120"/>
      <c r="B22" s="160"/>
      <c r="C22" s="71"/>
      <c r="D22" s="69"/>
      <c r="E22" s="76"/>
      <c r="F22" s="76"/>
      <c r="G22" s="76"/>
      <c r="H22" s="72">
        <f t="shared" si="2"/>
        <v>0</v>
      </c>
      <c r="I22" s="85">
        <f t="shared" si="3"/>
        <v>0</v>
      </c>
    </row>
    <row r="23" spans="1:9" s="4" customFormat="1" ht="18" customHeight="1">
      <c r="A23" s="120"/>
      <c r="B23" s="160"/>
      <c r="C23" s="68"/>
      <c r="D23" s="77"/>
      <c r="E23" s="76"/>
      <c r="F23" s="76"/>
      <c r="G23" s="76"/>
      <c r="H23" s="72">
        <f t="shared" si="2"/>
        <v>0</v>
      </c>
      <c r="I23" s="85">
        <f t="shared" si="3"/>
        <v>0</v>
      </c>
    </row>
    <row r="24" spans="1:9" s="4" customFormat="1" ht="18" customHeight="1">
      <c r="A24" s="120"/>
      <c r="B24" s="160"/>
      <c r="C24" s="71"/>
      <c r="D24" s="77"/>
      <c r="E24" s="76"/>
      <c r="F24" s="76"/>
      <c r="G24" s="76"/>
      <c r="H24" s="72">
        <f t="shared" si="2"/>
        <v>0</v>
      </c>
      <c r="I24" s="85">
        <f t="shared" si="3"/>
        <v>0</v>
      </c>
    </row>
    <row r="25" spans="1:9" s="4" customFormat="1" ht="18" customHeight="1">
      <c r="A25" s="120"/>
      <c r="B25" s="160"/>
      <c r="C25" s="76"/>
      <c r="D25" s="77"/>
      <c r="E25" s="76"/>
      <c r="F25" s="76"/>
      <c r="G25" s="76"/>
      <c r="H25" s="72">
        <f t="shared" si="2"/>
        <v>0</v>
      </c>
      <c r="I25" s="85">
        <f t="shared" si="3"/>
        <v>0</v>
      </c>
    </row>
    <row r="26" spans="1:9" s="4" customFormat="1" ht="18" customHeight="1">
      <c r="A26" s="120"/>
      <c r="B26" s="159"/>
      <c r="C26" s="71"/>
      <c r="D26" s="69"/>
      <c r="E26" s="70"/>
      <c r="F26" s="71"/>
      <c r="G26" s="71"/>
      <c r="H26" s="72">
        <f t="shared" si="2"/>
        <v>0</v>
      </c>
      <c r="I26" s="85">
        <f t="shared" si="3"/>
        <v>0</v>
      </c>
    </row>
    <row r="27" spans="1:9" s="4" customFormat="1" ht="18" customHeight="1">
      <c r="A27" s="121"/>
      <c r="B27" s="67"/>
      <c r="C27" s="71"/>
      <c r="D27" s="69"/>
      <c r="E27" s="70"/>
      <c r="F27" s="71"/>
      <c r="G27" s="71"/>
      <c r="H27" s="72">
        <f t="shared" si="2"/>
        <v>0</v>
      </c>
      <c r="I27" s="85">
        <f t="shared" si="3"/>
        <v>0</v>
      </c>
    </row>
    <row r="28" spans="1:9" ht="24" customHeight="1" thickBot="1">
      <c r="A28" s="1"/>
      <c r="B28" s="2"/>
      <c r="C28" s="3"/>
      <c r="D28" s="2"/>
      <c r="E28" s="3"/>
      <c r="F28" s="2"/>
      <c r="G28" s="167">
        <f>SUM(G4:G27)</f>
        <v>39</v>
      </c>
      <c r="H28" s="167">
        <f>SUM(H4:H27)</f>
        <v>8450000</v>
      </c>
      <c r="I28" s="86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4330708661417323" right="0.4330708661417323" top="0.5511811023622047" bottom="0.5511811023622047" header="0.31496062992125984" footer="0.31496062992125984"/>
  <pageSetup fitToHeight="1" fitToWidth="1" orientation="landscape" paperSize="9" scale="88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N28" sqref="A1:N28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384" width="9.140625" style="8" customWidth="1"/>
  </cols>
  <sheetData>
    <row r="1" spans="2:14" s="4" customFormat="1" ht="43.5" customHeight="1">
      <c r="B1" s="374" t="s">
        <v>68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2:14" s="4" customFormat="1" ht="29.25" customHeight="1">
      <c r="B2" s="375" t="s">
        <v>105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52</v>
      </c>
      <c r="F3" s="63" t="s">
        <v>6</v>
      </c>
      <c r="G3" s="64" t="s">
        <v>5</v>
      </c>
      <c r="H3" s="65" t="s">
        <v>51</v>
      </c>
      <c r="I3" s="66"/>
      <c r="J3" s="138" t="s">
        <v>6</v>
      </c>
      <c r="K3" s="134"/>
      <c r="L3" s="135"/>
      <c r="M3" s="136" t="s">
        <v>5</v>
      </c>
      <c r="N3" s="137" t="s">
        <v>4</v>
      </c>
    </row>
    <row r="4" spans="1:14" s="73" customFormat="1" ht="18" customHeight="1">
      <c r="A4" s="120" t="s">
        <v>78</v>
      </c>
      <c r="B4" s="160">
        <v>13.8</v>
      </c>
      <c r="C4" s="71">
        <v>33</v>
      </c>
      <c r="D4" s="69">
        <v>36</v>
      </c>
      <c r="E4" s="70"/>
      <c r="F4" s="71">
        <v>1</v>
      </c>
      <c r="G4" s="68">
        <v>10</v>
      </c>
      <c r="H4" s="72">
        <f>N4+I4</f>
        <v>1550000</v>
      </c>
      <c r="I4" s="85">
        <f>IF(E4&gt;0,$N$13,0)+IF(C4&gt;0,50000,0)+IF(C12&lt;0,50000,0)</f>
        <v>50000</v>
      </c>
      <c r="J4" s="87" t="s">
        <v>8</v>
      </c>
      <c r="K4" s="88"/>
      <c r="L4" s="89"/>
      <c r="M4" s="78">
        <v>10</v>
      </c>
      <c r="N4" s="72">
        <f>N12*25%</f>
        <v>1500000</v>
      </c>
    </row>
    <row r="5" spans="1:14" s="73" customFormat="1" ht="18" customHeight="1">
      <c r="A5" s="120" t="s">
        <v>70</v>
      </c>
      <c r="B5" s="160">
        <v>16.7</v>
      </c>
      <c r="C5" s="74">
        <v>30</v>
      </c>
      <c r="D5" s="69">
        <v>36</v>
      </c>
      <c r="E5" s="70"/>
      <c r="F5" s="71">
        <v>2</v>
      </c>
      <c r="G5" s="71">
        <v>8</v>
      </c>
      <c r="H5" s="72">
        <f aca="true" t="shared" si="0" ref="H5:H11">N5+I5</f>
        <v>1250000</v>
      </c>
      <c r="I5" s="85">
        <f aca="true" t="shared" si="1" ref="I5:I11">IF(E5&gt;0,$N$13,0)+IF(C5&gt;0,50000,0)+IF(C13&lt;0,50000,0)</f>
        <v>50000</v>
      </c>
      <c r="J5" s="90" t="s">
        <v>9</v>
      </c>
      <c r="K5" s="91"/>
      <c r="L5" s="92"/>
      <c r="M5" s="75">
        <v>8</v>
      </c>
      <c r="N5" s="72">
        <f>N12*20%</f>
        <v>1200000</v>
      </c>
    </row>
    <row r="6" spans="1:14" s="73" customFormat="1" ht="18" customHeight="1">
      <c r="A6" s="120" t="s">
        <v>115</v>
      </c>
      <c r="B6" s="160">
        <v>14.1</v>
      </c>
      <c r="C6" s="76">
        <v>29</v>
      </c>
      <c r="D6" s="69">
        <v>35</v>
      </c>
      <c r="E6" s="70"/>
      <c r="F6" s="76">
        <v>3</v>
      </c>
      <c r="G6" s="76">
        <v>6</v>
      </c>
      <c r="H6" s="72">
        <f t="shared" si="0"/>
        <v>950000</v>
      </c>
      <c r="I6" s="85">
        <f t="shared" si="1"/>
        <v>50000</v>
      </c>
      <c r="J6" s="90" t="s">
        <v>10</v>
      </c>
      <c r="K6" s="91"/>
      <c r="L6" s="92"/>
      <c r="M6" s="75">
        <v>6</v>
      </c>
      <c r="N6" s="72">
        <f>N12*15%</f>
        <v>900000</v>
      </c>
    </row>
    <row r="7" spans="1:18" s="73" customFormat="1" ht="18" customHeight="1">
      <c r="A7" s="120" t="s">
        <v>75</v>
      </c>
      <c r="B7" s="160">
        <v>16.7</v>
      </c>
      <c r="C7" s="71">
        <v>27</v>
      </c>
      <c r="D7" s="69">
        <v>38</v>
      </c>
      <c r="E7" s="70">
        <v>1.48</v>
      </c>
      <c r="F7" s="71">
        <v>4</v>
      </c>
      <c r="G7" s="71">
        <v>5</v>
      </c>
      <c r="H7" s="72">
        <f t="shared" si="0"/>
        <v>1130000</v>
      </c>
      <c r="I7" s="85">
        <f t="shared" si="1"/>
        <v>410000</v>
      </c>
      <c r="J7" s="90" t="s">
        <v>11</v>
      </c>
      <c r="K7" s="91"/>
      <c r="L7" s="92"/>
      <c r="M7" s="75">
        <v>5</v>
      </c>
      <c r="N7" s="72">
        <f>N12*12%</f>
        <v>720000</v>
      </c>
      <c r="O7" s="79"/>
      <c r="P7" s="79"/>
      <c r="Q7" s="79"/>
      <c r="R7" s="80"/>
    </row>
    <row r="8" spans="1:14" s="73" customFormat="1" ht="18" customHeight="1">
      <c r="A8" s="120" t="s">
        <v>109</v>
      </c>
      <c r="B8" s="160">
        <v>15.7</v>
      </c>
      <c r="C8" s="71">
        <v>25</v>
      </c>
      <c r="D8" s="69">
        <v>42</v>
      </c>
      <c r="E8" s="70"/>
      <c r="F8" s="71">
        <v>5</v>
      </c>
      <c r="G8" s="71">
        <v>4</v>
      </c>
      <c r="H8" s="72">
        <f t="shared" si="0"/>
        <v>650000</v>
      </c>
      <c r="I8" s="85">
        <f t="shared" si="1"/>
        <v>50000</v>
      </c>
      <c r="J8" s="90" t="s">
        <v>12</v>
      </c>
      <c r="K8" s="91"/>
      <c r="L8" s="92"/>
      <c r="M8" s="75">
        <v>4</v>
      </c>
      <c r="N8" s="72">
        <f>N12*10%</f>
        <v>600000</v>
      </c>
    </row>
    <row r="9" spans="1:14" s="73" customFormat="1" ht="18" customHeight="1">
      <c r="A9" s="120" t="s">
        <v>111</v>
      </c>
      <c r="B9" s="160">
        <v>13.6</v>
      </c>
      <c r="C9" s="71">
        <v>25</v>
      </c>
      <c r="D9" s="77">
        <v>39</v>
      </c>
      <c r="E9" s="81"/>
      <c r="F9" s="81">
        <v>6</v>
      </c>
      <c r="G9" s="81">
        <v>3</v>
      </c>
      <c r="H9" s="72">
        <f t="shared" si="0"/>
        <v>530000</v>
      </c>
      <c r="I9" s="85">
        <f t="shared" si="1"/>
        <v>50000</v>
      </c>
      <c r="J9" s="90" t="s">
        <v>13</v>
      </c>
      <c r="K9" s="91"/>
      <c r="L9" s="92"/>
      <c r="M9" s="75">
        <v>3</v>
      </c>
      <c r="N9" s="72">
        <f>N12*8%</f>
        <v>480000</v>
      </c>
    </row>
    <row r="10" spans="1:14" s="73" customFormat="1" ht="18" customHeight="1">
      <c r="A10" s="120" t="s">
        <v>71</v>
      </c>
      <c r="B10" s="160">
        <v>6.4</v>
      </c>
      <c r="C10" s="74">
        <v>24</v>
      </c>
      <c r="D10" s="69">
        <v>35</v>
      </c>
      <c r="E10" s="70"/>
      <c r="F10" s="71">
        <v>7</v>
      </c>
      <c r="G10" s="71">
        <v>2</v>
      </c>
      <c r="H10" s="72">
        <f t="shared" si="0"/>
        <v>410000</v>
      </c>
      <c r="I10" s="85">
        <f t="shared" si="1"/>
        <v>50000</v>
      </c>
      <c r="J10" s="90" t="s">
        <v>14</v>
      </c>
      <c r="K10" s="91"/>
      <c r="L10" s="92"/>
      <c r="M10" s="75">
        <v>2</v>
      </c>
      <c r="N10" s="72">
        <f>N12*6%</f>
        <v>360000</v>
      </c>
    </row>
    <row r="11" spans="1:14" s="73" customFormat="1" ht="18" customHeight="1">
      <c r="A11" s="120" t="s">
        <v>59</v>
      </c>
      <c r="B11" s="160">
        <v>17.8</v>
      </c>
      <c r="C11" s="76">
        <v>23</v>
      </c>
      <c r="D11" s="77">
        <v>42</v>
      </c>
      <c r="E11" s="70"/>
      <c r="F11" s="71">
        <v>8</v>
      </c>
      <c r="G11" s="71">
        <v>1</v>
      </c>
      <c r="H11" s="72">
        <f t="shared" si="0"/>
        <v>290000</v>
      </c>
      <c r="I11" s="85">
        <f t="shared" si="1"/>
        <v>50000</v>
      </c>
      <c r="J11" s="90" t="s">
        <v>15</v>
      </c>
      <c r="K11" s="91"/>
      <c r="L11" s="92"/>
      <c r="M11" s="75">
        <v>1</v>
      </c>
      <c r="N11" s="72">
        <f>N12*4%</f>
        <v>240000</v>
      </c>
    </row>
    <row r="12" spans="1:14" s="73" customFormat="1" ht="18" customHeight="1">
      <c r="A12" s="120" t="s">
        <v>60</v>
      </c>
      <c r="B12" s="160">
        <v>7.8</v>
      </c>
      <c r="C12" s="74">
        <v>20</v>
      </c>
      <c r="D12" s="69">
        <v>34</v>
      </c>
      <c r="E12" s="70"/>
      <c r="F12" s="68"/>
      <c r="G12" s="71"/>
      <c r="H12" s="72">
        <f>I12</f>
        <v>50000</v>
      </c>
      <c r="I12" s="85">
        <f>IF(E12&gt;0,$N$13,0)+IF(C12&gt;0,50000,0)+IF(C12&lt;0,50000,0)</f>
        <v>50000</v>
      </c>
      <c r="J12" s="93" t="s">
        <v>3</v>
      </c>
      <c r="K12" s="91"/>
      <c r="L12" s="92"/>
      <c r="M12" s="75"/>
      <c r="N12" s="82">
        <v>6000000</v>
      </c>
    </row>
    <row r="13" spans="1:14" s="73" customFormat="1" ht="18" customHeight="1">
      <c r="A13" s="120" t="s">
        <v>65</v>
      </c>
      <c r="B13" s="160">
        <v>10.4</v>
      </c>
      <c r="C13" s="71">
        <v>19</v>
      </c>
      <c r="D13" s="69">
        <v>38</v>
      </c>
      <c r="E13" s="70"/>
      <c r="F13" s="71"/>
      <c r="G13" s="71"/>
      <c r="H13" s="72">
        <f aca="true" t="shared" si="2" ref="H13:H27">I13</f>
        <v>50000</v>
      </c>
      <c r="I13" s="85">
        <f aca="true" t="shared" si="3" ref="I13:I27">IF(E13&gt;0,$N$13,0)+IF(C13&gt;0,50000,0)+IF(C13&lt;0,50000,0)</f>
        <v>50000</v>
      </c>
      <c r="J13" s="122" t="s">
        <v>62</v>
      </c>
      <c r="K13" s="123"/>
      <c r="L13" s="124"/>
      <c r="M13" s="125">
        <v>1</v>
      </c>
      <c r="N13" s="126">
        <f>N10</f>
        <v>360000</v>
      </c>
    </row>
    <row r="14" spans="1:14" s="73" customFormat="1" ht="18" customHeight="1">
      <c r="A14" s="120" t="s">
        <v>110</v>
      </c>
      <c r="B14" s="160">
        <v>15.8</v>
      </c>
      <c r="C14" s="74">
        <v>19</v>
      </c>
      <c r="D14" s="77">
        <v>38</v>
      </c>
      <c r="E14" s="70"/>
      <c r="F14" s="71"/>
      <c r="G14" s="71"/>
      <c r="H14" s="72">
        <f t="shared" si="2"/>
        <v>50000</v>
      </c>
      <c r="I14" s="85">
        <f t="shared" si="3"/>
        <v>50000</v>
      </c>
      <c r="J14" s="131"/>
      <c r="K14" s="123"/>
      <c r="L14" s="123"/>
      <c r="M14" s="132"/>
      <c r="N14" s="133"/>
    </row>
    <row r="15" spans="1:14" s="73" customFormat="1" ht="18" customHeight="1">
      <c r="A15" s="120"/>
      <c r="B15" s="160"/>
      <c r="C15" s="71"/>
      <c r="D15" s="69"/>
      <c r="E15" s="70"/>
      <c r="F15" s="71"/>
      <c r="G15" s="71"/>
      <c r="H15" s="72">
        <f t="shared" si="2"/>
        <v>0</v>
      </c>
      <c r="I15" s="85">
        <f t="shared" si="3"/>
        <v>0</v>
      </c>
      <c r="J15" s="127"/>
      <c r="K15" s="128"/>
      <c r="L15" s="128"/>
      <c r="M15" s="129"/>
      <c r="N15" s="130"/>
    </row>
    <row r="16" spans="1:9" s="73" customFormat="1" ht="18" customHeight="1">
      <c r="A16" s="120"/>
      <c r="B16" s="160"/>
      <c r="C16" s="71"/>
      <c r="D16" s="69"/>
      <c r="E16" s="76"/>
      <c r="F16" s="76"/>
      <c r="G16" s="76"/>
      <c r="H16" s="72">
        <f t="shared" si="2"/>
        <v>0</v>
      </c>
      <c r="I16" s="85">
        <f t="shared" si="3"/>
        <v>0</v>
      </c>
    </row>
    <row r="17" spans="1:13" s="73" customFormat="1" ht="18" customHeight="1">
      <c r="A17" s="120"/>
      <c r="B17" s="160"/>
      <c r="C17" s="71"/>
      <c r="D17" s="69"/>
      <c r="E17" s="76"/>
      <c r="F17" s="76"/>
      <c r="G17" s="76"/>
      <c r="H17" s="72">
        <f t="shared" si="2"/>
        <v>0</v>
      </c>
      <c r="I17" s="85">
        <f t="shared" si="3"/>
        <v>0</v>
      </c>
      <c r="J17" s="79"/>
      <c r="K17" s="79"/>
      <c r="L17" s="79"/>
      <c r="M17" s="80"/>
    </row>
    <row r="18" spans="1:13" s="73" customFormat="1" ht="18" customHeight="1">
      <c r="A18" s="120"/>
      <c r="B18" s="160"/>
      <c r="C18" s="77"/>
      <c r="D18" s="69"/>
      <c r="E18" s="70"/>
      <c r="F18" s="71"/>
      <c r="G18" s="71"/>
      <c r="H18" s="72">
        <f t="shared" si="2"/>
        <v>0</v>
      </c>
      <c r="I18" s="85">
        <f t="shared" si="3"/>
        <v>0</v>
      </c>
      <c r="J18" s="80"/>
      <c r="K18" s="80"/>
      <c r="L18" s="80"/>
      <c r="M18" s="80"/>
    </row>
    <row r="19" spans="1:13" s="73" customFormat="1" ht="18" customHeight="1">
      <c r="A19" s="120"/>
      <c r="B19" s="160"/>
      <c r="C19" s="71"/>
      <c r="D19" s="69"/>
      <c r="E19" s="70"/>
      <c r="F19" s="71"/>
      <c r="G19" s="71"/>
      <c r="H19" s="72">
        <f t="shared" si="2"/>
        <v>0</v>
      </c>
      <c r="I19" s="85">
        <f t="shared" si="3"/>
        <v>0</v>
      </c>
      <c r="J19" s="80"/>
      <c r="K19" s="80"/>
      <c r="L19" s="80"/>
      <c r="M19" s="80"/>
    </row>
    <row r="20" spans="1:9" s="4" customFormat="1" ht="18" customHeight="1">
      <c r="A20" s="120"/>
      <c r="B20" s="160"/>
      <c r="C20" s="71"/>
      <c r="D20" s="69"/>
      <c r="E20" s="76"/>
      <c r="F20" s="76"/>
      <c r="G20" s="76"/>
      <c r="H20" s="72">
        <f t="shared" si="2"/>
        <v>0</v>
      </c>
      <c r="I20" s="85">
        <f t="shared" si="3"/>
        <v>0</v>
      </c>
    </row>
    <row r="21" spans="1:9" s="4" customFormat="1" ht="18" customHeight="1">
      <c r="A21" s="120"/>
      <c r="B21" s="160"/>
      <c r="C21" s="68"/>
      <c r="D21" s="77"/>
      <c r="E21" s="76"/>
      <c r="F21" s="76"/>
      <c r="G21" s="76"/>
      <c r="H21" s="72">
        <f t="shared" si="2"/>
        <v>0</v>
      </c>
      <c r="I21" s="85">
        <f t="shared" si="3"/>
        <v>0</v>
      </c>
    </row>
    <row r="22" spans="1:9" s="4" customFormat="1" ht="18" customHeight="1">
      <c r="A22" s="120"/>
      <c r="B22" s="160"/>
      <c r="C22" s="74"/>
      <c r="D22" s="69"/>
      <c r="E22" s="76"/>
      <c r="F22" s="76"/>
      <c r="G22" s="76"/>
      <c r="H22" s="72">
        <f t="shared" si="2"/>
        <v>0</v>
      </c>
      <c r="I22" s="85">
        <f t="shared" si="3"/>
        <v>0</v>
      </c>
    </row>
    <row r="23" spans="1:9" s="4" customFormat="1" ht="18" customHeight="1">
      <c r="A23" s="120"/>
      <c r="B23" s="160"/>
      <c r="C23" s="71"/>
      <c r="D23" s="77"/>
      <c r="E23" s="76"/>
      <c r="F23" s="76"/>
      <c r="G23" s="76"/>
      <c r="H23" s="72">
        <f t="shared" si="2"/>
        <v>0</v>
      </c>
      <c r="I23" s="85">
        <f t="shared" si="3"/>
        <v>0</v>
      </c>
    </row>
    <row r="24" spans="1:9" s="4" customFormat="1" ht="18" customHeight="1">
      <c r="A24" s="120"/>
      <c r="B24" s="160"/>
      <c r="C24" s="71"/>
      <c r="D24" s="77"/>
      <c r="E24" s="76"/>
      <c r="F24" s="76"/>
      <c r="G24" s="76"/>
      <c r="H24" s="72">
        <f t="shared" si="2"/>
        <v>0</v>
      </c>
      <c r="I24" s="85">
        <f t="shared" si="3"/>
        <v>0</v>
      </c>
    </row>
    <row r="25" spans="1:9" s="4" customFormat="1" ht="18" customHeight="1">
      <c r="A25" s="120"/>
      <c r="B25" s="160"/>
      <c r="C25" s="74"/>
      <c r="D25" s="77"/>
      <c r="E25" s="76"/>
      <c r="F25" s="76"/>
      <c r="G25" s="76"/>
      <c r="H25" s="72">
        <f t="shared" si="2"/>
        <v>0</v>
      </c>
      <c r="I25" s="85">
        <f t="shared" si="3"/>
        <v>0</v>
      </c>
    </row>
    <row r="26" spans="1:9" s="4" customFormat="1" ht="18" customHeight="1">
      <c r="A26" s="120"/>
      <c r="B26" s="160"/>
      <c r="C26" s="71"/>
      <c r="D26" s="77"/>
      <c r="E26" s="70"/>
      <c r="F26" s="71"/>
      <c r="G26" s="71"/>
      <c r="H26" s="72">
        <f t="shared" si="2"/>
        <v>0</v>
      </c>
      <c r="I26" s="85">
        <f t="shared" si="3"/>
        <v>0</v>
      </c>
    </row>
    <row r="27" spans="1:9" s="4" customFormat="1" ht="18" customHeight="1">
      <c r="A27" s="120"/>
      <c r="B27" s="160"/>
      <c r="C27" s="71"/>
      <c r="D27" s="69"/>
      <c r="E27" s="70"/>
      <c r="F27" s="71"/>
      <c r="G27" s="71"/>
      <c r="H27" s="72">
        <f t="shared" si="2"/>
        <v>0</v>
      </c>
      <c r="I27" s="85">
        <f t="shared" si="3"/>
        <v>0</v>
      </c>
    </row>
    <row r="28" spans="1:9" ht="24" customHeight="1" thickBot="1">
      <c r="A28" s="1"/>
      <c r="B28" s="2"/>
      <c r="C28" s="3"/>
      <c r="D28" s="2"/>
      <c r="E28" s="3"/>
      <c r="F28" s="2"/>
      <c r="G28" s="167">
        <f>SUM(G4:G27)</f>
        <v>39</v>
      </c>
      <c r="H28" s="167">
        <f>SUM(H4:H27)</f>
        <v>6910000</v>
      </c>
      <c r="I28" s="86"/>
    </row>
    <row r="29" ht="18.75" thickTop="1"/>
    <row r="30" ht="18"/>
    <row r="31" ht="18"/>
  </sheetData>
  <sheetProtection/>
  <mergeCells count="2">
    <mergeCell ref="B1:N1"/>
    <mergeCell ref="B2:N2"/>
  </mergeCells>
  <printOptions horizontalCentered="1" verticalCentered="1"/>
  <pageMargins left="0.4330708661417323" right="0.4330708661417323" top="0.5511811023622047" bottom="0.5511811023622047" header="0.31496062992125984" footer="0.31496062992125984"/>
  <pageSetup fitToHeight="1" fitToWidth="1" orientation="landscape" paperSize="9" scale="8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31"/>
  <sheetViews>
    <sheetView zoomScale="90" zoomScaleNormal="90" zoomScalePageLayoutView="0" workbookViewId="0" topLeftCell="B1">
      <selection activeCell="C6" sqref="C6"/>
    </sheetView>
  </sheetViews>
  <sheetFormatPr defaultColWidth="9.140625" defaultRowHeight="12.75"/>
  <cols>
    <col min="1" max="1" width="4.00390625" style="22" hidden="1" customWidth="1"/>
    <col min="2" max="2" width="25.140625" style="22" customWidth="1"/>
    <col min="3" max="3" width="10.28125" style="33" customWidth="1"/>
    <col min="4" max="6" width="4.00390625" style="33" customWidth="1"/>
    <col min="7" max="34" width="3.8515625" style="33" customWidth="1"/>
    <col min="35" max="35" width="3.8515625" style="33" bestFit="1" customWidth="1"/>
    <col min="36" max="36" width="4.8515625" style="119" customWidth="1"/>
    <col min="37" max="37" width="5.421875" style="119" customWidth="1"/>
    <col min="38" max="38" width="4.421875" style="192" customWidth="1"/>
    <col min="39" max="39" width="3.421875" style="29" customWidth="1"/>
    <col min="40" max="53" width="3.28125" style="29" customWidth="1"/>
    <col min="54" max="54" width="30.7109375" style="29" customWidth="1"/>
    <col min="55" max="63" width="3.28125" style="29" customWidth="1"/>
    <col min="64" max="71" width="4.7109375" style="22" customWidth="1"/>
    <col min="72" max="16384" width="9.140625" style="22" customWidth="1"/>
  </cols>
  <sheetData>
    <row r="1" spans="3:63" ht="24.75" customHeight="1">
      <c r="C1" s="34" t="s">
        <v>54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115"/>
      <c r="AK1" s="115"/>
      <c r="AL1" s="187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</row>
    <row r="2" spans="2:41" s="23" customFormat="1" ht="66.75" customHeight="1">
      <c r="B2" s="24"/>
      <c r="C2" s="42" t="s">
        <v>28</v>
      </c>
      <c r="D2" s="144" t="s">
        <v>67</v>
      </c>
      <c r="E2" s="347" t="s">
        <v>160</v>
      </c>
      <c r="F2" s="144" t="s">
        <v>159</v>
      </c>
      <c r="G2" s="231" t="s">
        <v>339</v>
      </c>
      <c r="H2" s="231">
        <v>41158</v>
      </c>
      <c r="I2" s="231">
        <v>41153</v>
      </c>
      <c r="J2" s="231">
        <v>41153</v>
      </c>
      <c r="K2" s="231">
        <v>41151</v>
      </c>
      <c r="L2" s="231">
        <v>41144</v>
      </c>
      <c r="M2" s="231">
        <v>41137</v>
      </c>
      <c r="N2" s="231">
        <v>41130</v>
      </c>
      <c r="O2" s="231">
        <v>41123</v>
      </c>
      <c r="P2" s="232">
        <v>41116</v>
      </c>
      <c r="Q2" s="233">
        <v>41109</v>
      </c>
      <c r="R2" s="233">
        <v>41102</v>
      </c>
      <c r="S2" s="233">
        <v>41095</v>
      </c>
      <c r="T2" s="232">
        <v>41088</v>
      </c>
      <c r="U2" s="232">
        <v>41081</v>
      </c>
      <c r="V2" s="232">
        <v>41074</v>
      </c>
      <c r="W2" s="232">
        <v>41067</v>
      </c>
      <c r="X2" s="232">
        <v>41060</v>
      </c>
      <c r="Y2" s="233">
        <v>41053</v>
      </c>
      <c r="Z2" s="233">
        <v>41046</v>
      </c>
      <c r="AA2" s="232">
        <v>41041</v>
      </c>
      <c r="AB2" s="233">
        <v>41041</v>
      </c>
      <c r="AC2" s="234">
        <v>41039</v>
      </c>
      <c r="AD2" s="232">
        <v>41032</v>
      </c>
      <c r="AE2" s="232">
        <v>41086</v>
      </c>
      <c r="AF2" s="232">
        <v>41018</v>
      </c>
      <c r="AG2" s="232">
        <v>41011</v>
      </c>
      <c r="AH2" s="232">
        <v>41004</v>
      </c>
      <c r="AI2" s="232">
        <v>40997</v>
      </c>
      <c r="AJ2" s="166" t="s">
        <v>44</v>
      </c>
      <c r="AK2" s="166" t="s">
        <v>45</v>
      </c>
      <c r="AL2" s="186" t="s">
        <v>102</v>
      </c>
      <c r="AM2" s="40"/>
      <c r="AN2" s="40"/>
      <c r="AO2" s="40"/>
    </row>
    <row r="3" spans="2:63" ht="15">
      <c r="B3" s="120" t="s">
        <v>253</v>
      </c>
      <c r="C3" s="94">
        <f aca="true" t="shared" si="0" ref="C3:C26">SUM(D3:AI3)</f>
        <v>128</v>
      </c>
      <c r="D3" s="162">
        <v>8</v>
      </c>
      <c r="E3" s="162">
        <v>6</v>
      </c>
      <c r="F3" s="346" t="s">
        <v>312</v>
      </c>
      <c r="G3" s="162">
        <v>4</v>
      </c>
      <c r="H3" s="162"/>
      <c r="I3" s="162">
        <v>10</v>
      </c>
      <c r="J3" s="162"/>
      <c r="K3" s="162"/>
      <c r="L3" s="162">
        <v>8</v>
      </c>
      <c r="M3" s="162"/>
      <c r="N3" s="162"/>
      <c r="O3" s="162"/>
      <c r="P3" s="162"/>
      <c r="Q3" s="162">
        <v>3</v>
      </c>
      <c r="R3" s="162">
        <v>10</v>
      </c>
      <c r="S3" s="342" t="s">
        <v>312</v>
      </c>
      <c r="T3" s="348" t="s">
        <v>340</v>
      </c>
      <c r="U3" s="162">
        <v>6</v>
      </c>
      <c r="V3" s="162">
        <v>8</v>
      </c>
      <c r="W3" s="162">
        <v>3</v>
      </c>
      <c r="X3" s="162">
        <v>10</v>
      </c>
      <c r="Y3" s="162">
        <v>10</v>
      </c>
      <c r="Z3" s="162">
        <v>10</v>
      </c>
      <c r="AA3" s="162">
        <v>6</v>
      </c>
      <c r="AB3" s="162">
        <v>6</v>
      </c>
      <c r="AC3" s="162">
        <v>6</v>
      </c>
      <c r="AD3" s="162">
        <v>10</v>
      </c>
      <c r="AE3" s="162"/>
      <c r="AF3" s="162"/>
      <c r="AG3" s="162">
        <v>4</v>
      </c>
      <c r="AH3" s="162"/>
      <c r="AI3" s="162"/>
      <c r="AJ3" s="344">
        <f aca="true" t="shared" si="1" ref="AJ3:AJ26">COUNTIF(D3:AI3,"&gt;0")</f>
        <v>18</v>
      </c>
      <c r="AK3" s="344">
        <f aca="true" t="shared" si="2" ref="AK3:AK26">SMALL(D3:AI3,1)</f>
        <v>3</v>
      </c>
      <c r="AL3" s="188">
        <f aca="true" t="shared" si="3" ref="AL3:AL26">COUNTIF(D3:AI3,"=10")</f>
        <v>6</v>
      </c>
      <c r="AM3" s="39">
        <f aca="true" t="shared" si="4" ref="AM3:AM26">IF(AJ3&gt;18,"OBS","")</f>
      </c>
      <c r="AN3" s="39"/>
      <c r="AO3" s="39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G3" s="22"/>
      <c r="BH3" s="22"/>
      <c r="BI3" s="22"/>
      <c r="BJ3" s="22"/>
      <c r="BK3" s="22"/>
    </row>
    <row r="4" spans="2:63" ht="15">
      <c r="B4" s="120" t="s">
        <v>244</v>
      </c>
      <c r="C4" s="94">
        <f t="shared" si="0"/>
        <v>122</v>
      </c>
      <c r="D4" s="162">
        <v>6</v>
      </c>
      <c r="E4" s="346" t="s">
        <v>318</v>
      </c>
      <c r="F4" s="162"/>
      <c r="G4" s="162">
        <v>8</v>
      </c>
      <c r="H4" s="162">
        <v>4</v>
      </c>
      <c r="I4" s="162">
        <v>5</v>
      </c>
      <c r="J4" s="162"/>
      <c r="K4" s="323" t="s">
        <v>312</v>
      </c>
      <c r="L4" s="162">
        <v>6</v>
      </c>
      <c r="M4" s="162">
        <v>8</v>
      </c>
      <c r="N4" s="162"/>
      <c r="O4" s="162">
        <v>6</v>
      </c>
      <c r="P4" s="162">
        <v>6</v>
      </c>
      <c r="Q4" s="162">
        <v>6</v>
      </c>
      <c r="R4" s="162">
        <v>8</v>
      </c>
      <c r="S4" s="162">
        <v>10</v>
      </c>
      <c r="T4" s="162">
        <v>10</v>
      </c>
      <c r="U4" s="323" t="s">
        <v>318</v>
      </c>
      <c r="V4" s="162">
        <v>6</v>
      </c>
      <c r="W4" s="162"/>
      <c r="X4" s="348" t="s">
        <v>332</v>
      </c>
      <c r="Y4" s="162"/>
      <c r="Z4" s="162">
        <v>6</v>
      </c>
      <c r="AA4" s="162">
        <v>8</v>
      </c>
      <c r="AB4" s="162">
        <v>8</v>
      </c>
      <c r="AC4" s="162">
        <v>5</v>
      </c>
      <c r="AD4" s="162">
        <v>6</v>
      </c>
      <c r="AE4" s="323" t="s">
        <v>318</v>
      </c>
      <c r="AF4" s="162"/>
      <c r="AG4" s="162"/>
      <c r="AH4" s="162"/>
      <c r="AI4" s="323" t="s">
        <v>332</v>
      </c>
      <c r="AJ4" s="344">
        <f t="shared" si="1"/>
        <v>18</v>
      </c>
      <c r="AK4" s="344">
        <f t="shared" si="2"/>
        <v>4</v>
      </c>
      <c r="AL4" s="188">
        <f t="shared" si="3"/>
        <v>2</v>
      </c>
      <c r="AM4" s="39">
        <f t="shared" si="4"/>
      </c>
      <c r="AN4" s="39"/>
      <c r="AO4" s="39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G4" s="22"/>
      <c r="BH4" s="22"/>
      <c r="BI4" s="22"/>
      <c r="BJ4" s="22"/>
      <c r="BK4" s="22"/>
    </row>
    <row r="5" spans="1:71" s="26" customFormat="1" ht="15">
      <c r="A5" s="22"/>
      <c r="B5" s="120" t="s">
        <v>246</v>
      </c>
      <c r="C5" s="94">
        <f t="shared" si="0"/>
        <v>95</v>
      </c>
      <c r="D5" s="162"/>
      <c r="E5" s="162">
        <v>10</v>
      </c>
      <c r="F5" s="162">
        <v>4</v>
      </c>
      <c r="G5" s="162">
        <v>3</v>
      </c>
      <c r="H5" s="162"/>
      <c r="I5" s="162">
        <v>8</v>
      </c>
      <c r="J5" s="162">
        <v>6</v>
      </c>
      <c r="K5" s="162"/>
      <c r="L5" s="162"/>
      <c r="M5" s="162">
        <v>6</v>
      </c>
      <c r="N5" s="162">
        <v>10</v>
      </c>
      <c r="O5" s="162"/>
      <c r="P5" s="162"/>
      <c r="Q5" s="162">
        <v>5</v>
      </c>
      <c r="R5" s="162">
        <v>4</v>
      </c>
      <c r="S5" s="162">
        <v>2</v>
      </c>
      <c r="T5" s="162"/>
      <c r="U5" s="162"/>
      <c r="V5" s="162"/>
      <c r="W5" s="162">
        <v>8</v>
      </c>
      <c r="X5" s="162">
        <v>8</v>
      </c>
      <c r="Y5" s="162">
        <v>5</v>
      </c>
      <c r="Z5" s="162">
        <v>5</v>
      </c>
      <c r="AA5" s="162"/>
      <c r="AB5" s="162">
        <v>3</v>
      </c>
      <c r="AC5" s="162"/>
      <c r="AD5" s="162">
        <v>1</v>
      </c>
      <c r="AE5" s="162">
        <v>2</v>
      </c>
      <c r="AF5" s="346" t="s">
        <v>312</v>
      </c>
      <c r="AG5" s="346" t="s">
        <v>312</v>
      </c>
      <c r="AH5" s="162">
        <v>5</v>
      </c>
      <c r="AI5" s="162"/>
      <c r="AJ5" s="344">
        <f t="shared" si="1"/>
        <v>18</v>
      </c>
      <c r="AK5" s="344">
        <f t="shared" si="2"/>
        <v>1</v>
      </c>
      <c r="AL5" s="188">
        <f t="shared" si="3"/>
        <v>2</v>
      </c>
      <c r="AM5" s="39">
        <f t="shared" si="4"/>
      </c>
      <c r="AN5" s="39"/>
      <c r="AO5" s="39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9"/>
      <c r="BC5" s="29"/>
      <c r="BD5" s="29"/>
      <c r="BE5" s="29"/>
      <c r="BF5" s="29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</row>
    <row r="6" spans="1:71" ht="15">
      <c r="A6" s="26"/>
      <c r="B6" s="120" t="s">
        <v>250</v>
      </c>
      <c r="C6" s="94">
        <f t="shared" si="0"/>
        <v>91</v>
      </c>
      <c r="D6" s="162"/>
      <c r="E6" s="162">
        <v>2</v>
      </c>
      <c r="F6" s="162">
        <v>10</v>
      </c>
      <c r="G6" s="162"/>
      <c r="H6" s="162">
        <v>3</v>
      </c>
      <c r="I6" s="162"/>
      <c r="J6" s="162"/>
      <c r="K6" s="162"/>
      <c r="L6" s="162">
        <v>10</v>
      </c>
      <c r="M6" s="162">
        <v>3</v>
      </c>
      <c r="N6" s="162">
        <v>4</v>
      </c>
      <c r="O6" s="162">
        <v>2</v>
      </c>
      <c r="P6" s="162"/>
      <c r="Q6" s="162"/>
      <c r="R6" s="162">
        <v>3</v>
      </c>
      <c r="S6" s="162">
        <v>6</v>
      </c>
      <c r="T6" s="162">
        <v>6</v>
      </c>
      <c r="U6" s="162"/>
      <c r="V6" s="162">
        <v>2</v>
      </c>
      <c r="W6" s="162"/>
      <c r="X6" s="346" t="s">
        <v>312</v>
      </c>
      <c r="Y6" s="162">
        <v>3</v>
      </c>
      <c r="Z6" s="162">
        <v>4</v>
      </c>
      <c r="AA6" s="162">
        <v>10</v>
      </c>
      <c r="AB6" s="162"/>
      <c r="AC6" s="162">
        <v>2</v>
      </c>
      <c r="AD6" s="162"/>
      <c r="AE6" s="162"/>
      <c r="AF6" s="162">
        <v>10</v>
      </c>
      <c r="AG6" s="162"/>
      <c r="AH6" s="162">
        <v>10</v>
      </c>
      <c r="AI6" s="162">
        <v>1</v>
      </c>
      <c r="AJ6" s="344">
        <f t="shared" si="1"/>
        <v>18</v>
      </c>
      <c r="AK6" s="344">
        <f t="shared" si="2"/>
        <v>1</v>
      </c>
      <c r="AL6" s="188">
        <f t="shared" si="3"/>
        <v>5</v>
      </c>
      <c r="AM6" s="39">
        <f t="shared" si="4"/>
      </c>
      <c r="AN6" s="39"/>
      <c r="AO6" s="39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6"/>
      <c r="BC6" s="26"/>
      <c r="BD6" s="26"/>
      <c r="BE6" s="26"/>
      <c r="BF6" s="26"/>
      <c r="BG6" s="22"/>
      <c r="BH6" s="22"/>
      <c r="BI6" s="22"/>
      <c r="BJ6" s="22"/>
      <c r="BK6" s="26"/>
      <c r="BL6" s="26"/>
      <c r="BM6" s="26"/>
      <c r="BN6" s="26"/>
      <c r="BO6" s="26"/>
      <c r="BP6" s="26"/>
      <c r="BQ6" s="26"/>
      <c r="BR6" s="26"/>
      <c r="BS6" s="26"/>
    </row>
    <row r="7" spans="2:63" ht="15">
      <c r="B7" s="120" t="s">
        <v>217</v>
      </c>
      <c r="C7" s="94">
        <f t="shared" si="0"/>
        <v>87</v>
      </c>
      <c r="D7" s="162">
        <v>2</v>
      </c>
      <c r="E7" s="162"/>
      <c r="F7" s="162">
        <v>5</v>
      </c>
      <c r="G7" s="162">
        <v>10</v>
      </c>
      <c r="H7" s="162">
        <v>5</v>
      </c>
      <c r="I7" s="348" t="s">
        <v>340</v>
      </c>
      <c r="J7" s="162"/>
      <c r="K7" s="162">
        <v>4</v>
      </c>
      <c r="L7" s="162">
        <v>2</v>
      </c>
      <c r="M7" s="162"/>
      <c r="N7" s="162"/>
      <c r="O7" s="162">
        <v>6</v>
      </c>
      <c r="P7" s="162"/>
      <c r="Q7" s="162"/>
      <c r="R7" s="162"/>
      <c r="S7" s="162">
        <v>5</v>
      </c>
      <c r="T7" s="162">
        <v>3</v>
      </c>
      <c r="U7" s="162">
        <v>2</v>
      </c>
      <c r="V7" s="162">
        <v>3</v>
      </c>
      <c r="W7" s="162">
        <v>2</v>
      </c>
      <c r="X7" s="162"/>
      <c r="Y7" s="162"/>
      <c r="Z7" s="343" t="s">
        <v>340</v>
      </c>
      <c r="AA7" s="162"/>
      <c r="AB7" s="162"/>
      <c r="AC7" s="162">
        <v>10</v>
      </c>
      <c r="AD7" s="162">
        <v>2</v>
      </c>
      <c r="AE7" s="162">
        <v>10</v>
      </c>
      <c r="AF7" s="162">
        <v>6</v>
      </c>
      <c r="AG7" s="162">
        <v>5</v>
      </c>
      <c r="AH7" s="162"/>
      <c r="AI7" s="162">
        <v>5</v>
      </c>
      <c r="AJ7" s="344">
        <f t="shared" si="1"/>
        <v>18</v>
      </c>
      <c r="AK7" s="344">
        <f t="shared" si="2"/>
        <v>2</v>
      </c>
      <c r="AL7" s="188">
        <f t="shared" si="3"/>
        <v>3</v>
      </c>
      <c r="AM7" s="39">
        <f t="shared" si="4"/>
      </c>
      <c r="AN7" s="39"/>
      <c r="AO7" s="39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G7" s="22"/>
      <c r="BH7" s="22"/>
      <c r="BI7" s="22"/>
      <c r="BJ7" s="22"/>
      <c r="BK7" s="22"/>
    </row>
    <row r="8" spans="2:63" ht="15">
      <c r="B8" s="120" t="s">
        <v>221</v>
      </c>
      <c r="C8" s="94">
        <f t="shared" si="0"/>
        <v>87</v>
      </c>
      <c r="D8" s="162">
        <v>4</v>
      </c>
      <c r="E8" s="162">
        <v>5</v>
      </c>
      <c r="F8" s="162">
        <v>8</v>
      </c>
      <c r="G8" s="162">
        <v>5</v>
      </c>
      <c r="H8" s="162"/>
      <c r="I8" s="162"/>
      <c r="J8" s="162">
        <v>6</v>
      </c>
      <c r="K8" s="162">
        <v>3</v>
      </c>
      <c r="L8" s="162">
        <v>5</v>
      </c>
      <c r="M8" s="162">
        <v>2</v>
      </c>
      <c r="N8" s="162"/>
      <c r="O8" s="162"/>
      <c r="P8" s="162"/>
      <c r="Q8" s="162"/>
      <c r="R8" s="162">
        <v>2</v>
      </c>
      <c r="S8" s="162">
        <v>4</v>
      </c>
      <c r="T8" s="162"/>
      <c r="U8" s="162">
        <v>8</v>
      </c>
      <c r="V8" s="162">
        <v>1</v>
      </c>
      <c r="W8" s="162"/>
      <c r="X8" s="162"/>
      <c r="Y8" s="162"/>
      <c r="Z8" s="162"/>
      <c r="AA8" s="162">
        <v>2</v>
      </c>
      <c r="AB8" s="162">
        <v>10</v>
      </c>
      <c r="AC8" s="162">
        <v>8</v>
      </c>
      <c r="AD8" s="162"/>
      <c r="AE8" s="162"/>
      <c r="AF8" s="162">
        <v>8</v>
      </c>
      <c r="AG8" s="162">
        <v>6</v>
      </c>
      <c r="AH8" s="162"/>
      <c r="AI8" s="162"/>
      <c r="AJ8" s="344">
        <f t="shared" si="1"/>
        <v>17</v>
      </c>
      <c r="AK8" s="344">
        <f t="shared" si="2"/>
        <v>1</v>
      </c>
      <c r="AL8" s="188">
        <f t="shared" si="3"/>
        <v>1</v>
      </c>
      <c r="AM8" s="39">
        <f t="shared" si="4"/>
      </c>
      <c r="AN8" s="39"/>
      <c r="AO8" s="39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G8" s="22"/>
      <c r="BH8" s="22"/>
      <c r="BI8" s="22"/>
      <c r="BJ8" s="22"/>
      <c r="BK8" s="22"/>
    </row>
    <row r="9" spans="2:63" ht="15">
      <c r="B9" s="120" t="s">
        <v>243</v>
      </c>
      <c r="C9" s="94">
        <f t="shared" si="0"/>
        <v>80</v>
      </c>
      <c r="D9" s="162"/>
      <c r="E9" s="162"/>
      <c r="F9" s="162">
        <v>3</v>
      </c>
      <c r="G9" s="162"/>
      <c r="H9" s="162">
        <v>6</v>
      </c>
      <c r="I9" s="162"/>
      <c r="J9" s="162"/>
      <c r="K9" s="162">
        <v>10</v>
      </c>
      <c r="L9" s="162"/>
      <c r="M9" s="162">
        <v>10</v>
      </c>
      <c r="N9" s="162">
        <v>8</v>
      </c>
      <c r="O9" s="162"/>
      <c r="P9" s="162"/>
      <c r="Q9" s="162">
        <v>10</v>
      </c>
      <c r="R9" s="162">
        <v>5</v>
      </c>
      <c r="S9" s="162">
        <v>8</v>
      </c>
      <c r="T9" s="163"/>
      <c r="U9" s="162"/>
      <c r="V9" s="162"/>
      <c r="W9" s="162"/>
      <c r="X9" s="162">
        <v>6</v>
      </c>
      <c r="Y9" s="162"/>
      <c r="Z9" s="162"/>
      <c r="AA9" s="163"/>
      <c r="AB9" s="163"/>
      <c r="AC9" s="162"/>
      <c r="AD9" s="162"/>
      <c r="AE9" s="162">
        <v>4</v>
      </c>
      <c r="AF9" s="163">
        <v>4</v>
      </c>
      <c r="AG9" s="162">
        <v>3</v>
      </c>
      <c r="AH9" s="162">
        <v>3</v>
      </c>
      <c r="AI9" s="162"/>
      <c r="AJ9" s="344">
        <f t="shared" si="1"/>
        <v>13</v>
      </c>
      <c r="AK9" s="344">
        <f t="shared" si="2"/>
        <v>3</v>
      </c>
      <c r="AL9" s="188">
        <f t="shared" si="3"/>
        <v>3</v>
      </c>
      <c r="AM9" s="39">
        <f t="shared" si="4"/>
      </c>
      <c r="AN9" s="39"/>
      <c r="AO9" s="39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G9" s="22"/>
      <c r="BH9" s="22"/>
      <c r="BI9" s="22"/>
      <c r="BJ9" s="22"/>
      <c r="BK9" s="22"/>
    </row>
    <row r="10" spans="2:63" ht="15">
      <c r="B10" s="120" t="s">
        <v>256</v>
      </c>
      <c r="C10" s="94">
        <f t="shared" si="0"/>
        <v>77</v>
      </c>
      <c r="D10" s="162">
        <v>10</v>
      </c>
      <c r="E10" s="162"/>
      <c r="F10" s="162"/>
      <c r="G10" s="162"/>
      <c r="H10" s="162">
        <v>10</v>
      </c>
      <c r="I10" s="162"/>
      <c r="J10" s="162">
        <v>2</v>
      </c>
      <c r="K10" s="162"/>
      <c r="L10" s="162">
        <v>4</v>
      </c>
      <c r="M10" s="162"/>
      <c r="N10" s="162"/>
      <c r="O10" s="162">
        <v>4</v>
      </c>
      <c r="P10" s="162"/>
      <c r="Q10" s="162"/>
      <c r="R10" s="162"/>
      <c r="S10" s="162"/>
      <c r="T10" s="162">
        <v>4</v>
      </c>
      <c r="U10" s="162">
        <v>10</v>
      </c>
      <c r="V10" s="162">
        <v>4</v>
      </c>
      <c r="W10" s="162"/>
      <c r="X10" s="162"/>
      <c r="Y10" s="162">
        <v>6</v>
      </c>
      <c r="Z10" s="162">
        <v>8</v>
      </c>
      <c r="AA10" s="162"/>
      <c r="AB10" s="162">
        <v>5</v>
      </c>
      <c r="AC10" s="162"/>
      <c r="AD10" s="162"/>
      <c r="AE10" s="162"/>
      <c r="AF10" s="162"/>
      <c r="AG10" s="162">
        <v>10</v>
      </c>
      <c r="AH10" s="162"/>
      <c r="AI10" s="162"/>
      <c r="AJ10" s="344">
        <f t="shared" si="1"/>
        <v>12</v>
      </c>
      <c r="AK10" s="344">
        <f t="shared" si="2"/>
        <v>2</v>
      </c>
      <c r="AL10" s="188">
        <f t="shared" si="3"/>
        <v>4</v>
      </c>
      <c r="AM10" s="39">
        <f t="shared" si="4"/>
      </c>
      <c r="AN10" s="39"/>
      <c r="AO10" s="39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G10" s="22"/>
      <c r="BH10" s="22"/>
      <c r="BI10" s="22"/>
      <c r="BJ10" s="22"/>
      <c r="BK10" s="22"/>
    </row>
    <row r="11" spans="2:63" ht="15">
      <c r="B11" s="120" t="s">
        <v>255</v>
      </c>
      <c r="C11" s="94">
        <f t="shared" si="0"/>
        <v>64</v>
      </c>
      <c r="D11" s="162"/>
      <c r="E11" s="162"/>
      <c r="F11" s="162"/>
      <c r="G11" s="162"/>
      <c r="H11" s="162"/>
      <c r="I11" s="162">
        <v>6</v>
      </c>
      <c r="J11" s="162"/>
      <c r="K11" s="162">
        <v>8</v>
      </c>
      <c r="L11" s="162"/>
      <c r="M11" s="162"/>
      <c r="N11" s="162"/>
      <c r="O11" s="162"/>
      <c r="P11" s="162"/>
      <c r="Q11" s="162">
        <v>8</v>
      </c>
      <c r="R11" s="162"/>
      <c r="S11" s="162"/>
      <c r="T11" s="162"/>
      <c r="U11" s="162">
        <v>4</v>
      </c>
      <c r="V11" s="162"/>
      <c r="W11" s="162">
        <v>10</v>
      </c>
      <c r="X11" s="162">
        <v>2</v>
      </c>
      <c r="Y11" s="162"/>
      <c r="Z11" s="162"/>
      <c r="AA11" s="162"/>
      <c r="AB11" s="162"/>
      <c r="AC11" s="162"/>
      <c r="AD11" s="162">
        <v>8</v>
      </c>
      <c r="AE11" s="162"/>
      <c r="AF11" s="162"/>
      <c r="AG11" s="162">
        <v>8</v>
      </c>
      <c r="AH11" s="162"/>
      <c r="AI11" s="162">
        <v>10</v>
      </c>
      <c r="AJ11" s="344">
        <f t="shared" si="1"/>
        <v>9</v>
      </c>
      <c r="AK11" s="344">
        <f t="shared" si="2"/>
        <v>2</v>
      </c>
      <c r="AL11" s="188">
        <f t="shared" si="3"/>
        <v>2</v>
      </c>
      <c r="AM11" s="39">
        <f t="shared" si="4"/>
      </c>
      <c r="AN11" s="39"/>
      <c r="AO11" s="39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G11" s="22"/>
      <c r="BH11" s="22"/>
      <c r="BI11" s="22"/>
      <c r="BJ11" s="22"/>
      <c r="BK11" s="22"/>
    </row>
    <row r="12" spans="2:63" ht="15">
      <c r="B12" s="120" t="s">
        <v>239</v>
      </c>
      <c r="C12" s="94">
        <f t="shared" si="0"/>
        <v>48</v>
      </c>
      <c r="D12" s="163">
        <v>5</v>
      </c>
      <c r="E12" s="163">
        <v>8</v>
      </c>
      <c r="F12" s="163">
        <v>2</v>
      </c>
      <c r="G12" s="163">
        <v>2</v>
      </c>
      <c r="H12" s="162">
        <v>8</v>
      </c>
      <c r="I12" s="162"/>
      <c r="J12" s="162">
        <v>10</v>
      </c>
      <c r="K12" s="162"/>
      <c r="L12" s="162"/>
      <c r="M12" s="162"/>
      <c r="N12" s="162"/>
      <c r="O12" s="162"/>
      <c r="P12" s="162">
        <v>5</v>
      </c>
      <c r="Q12" s="162"/>
      <c r="R12" s="162"/>
      <c r="S12" s="163"/>
      <c r="T12" s="162">
        <v>8</v>
      </c>
      <c r="U12" s="162"/>
      <c r="V12" s="162"/>
      <c r="W12" s="162"/>
      <c r="X12" s="162"/>
      <c r="Y12" s="162"/>
      <c r="Z12" s="162"/>
      <c r="AA12" s="162"/>
      <c r="AB12" s="162"/>
      <c r="AC12" s="163"/>
      <c r="AD12" s="162"/>
      <c r="AE12" s="162"/>
      <c r="AF12" s="162"/>
      <c r="AG12" s="162"/>
      <c r="AH12" s="162"/>
      <c r="AI12" s="162"/>
      <c r="AJ12" s="344">
        <f t="shared" si="1"/>
        <v>8</v>
      </c>
      <c r="AK12" s="344">
        <f t="shared" si="2"/>
        <v>2</v>
      </c>
      <c r="AL12" s="188">
        <f t="shared" si="3"/>
        <v>1</v>
      </c>
      <c r="AM12" s="39">
        <f t="shared" si="4"/>
      </c>
      <c r="AN12" s="39"/>
      <c r="AO12" s="39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G12" s="22"/>
      <c r="BH12" s="22"/>
      <c r="BI12" s="22"/>
      <c r="BJ12" s="22"/>
      <c r="BK12" s="22"/>
    </row>
    <row r="13" spans="2:62" s="27" customFormat="1" ht="15">
      <c r="B13" s="120" t="s">
        <v>240</v>
      </c>
      <c r="C13" s="94">
        <f t="shared" si="0"/>
        <v>45</v>
      </c>
      <c r="D13" s="162"/>
      <c r="E13" s="162"/>
      <c r="F13" s="162"/>
      <c r="G13" s="162">
        <v>6</v>
      </c>
      <c r="H13" s="162"/>
      <c r="I13" s="163">
        <v>4</v>
      </c>
      <c r="J13" s="162"/>
      <c r="K13" s="162"/>
      <c r="L13" s="162"/>
      <c r="M13" s="163">
        <v>5</v>
      </c>
      <c r="N13" s="162">
        <v>3</v>
      </c>
      <c r="O13" s="162">
        <v>4</v>
      </c>
      <c r="P13" s="162"/>
      <c r="Q13" s="162"/>
      <c r="R13" s="162"/>
      <c r="S13" s="163"/>
      <c r="T13" s="162"/>
      <c r="U13" s="162"/>
      <c r="V13" s="162">
        <v>10</v>
      </c>
      <c r="W13" s="162"/>
      <c r="X13" s="162">
        <v>5</v>
      </c>
      <c r="Y13" s="162"/>
      <c r="Z13" s="163"/>
      <c r="AA13" s="163"/>
      <c r="AB13" s="163"/>
      <c r="AC13" s="163"/>
      <c r="AD13" s="162"/>
      <c r="AE13" s="162"/>
      <c r="AF13" s="162"/>
      <c r="AG13" s="162"/>
      <c r="AH13" s="162"/>
      <c r="AI13" s="162">
        <v>8</v>
      </c>
      <c r="AJ13" s="344">
        <f t="shared" si="1"/>
        <v>8</v>
      </c>
      <c r="AK13" s="344">
        <f t="shared" si="2"/>
        <v>3</v>
      </c>
      <c r="AL13" s="188">
        <f t="shared" si="3"/>
        <v>1</v>
      </c>
      <c r="AM13" s="39">
        <f t="shared" si="4"/>
      </c>
      <c r="AN13" s="39"/>
      <c r="AO13" s="39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9"/>
      <c r="BC13" s="29"/>
      <c r="BD13" s="29"/>
      <c r="BE13" s="29"/>
      <c r="BF13" s="29"/>
      <c r="BG13" s="22"/>
      <c r="BH13" s="22"/>
      <c r="BI13" s="22"/>
      <c r="BJ13" s="22"/>
    </row>
    <row r="14" spans="2:63" ht="15">
      <c r="B14" s="120" t="s">
        <v>230</v>
      </c>
      <c r="C14" s="94">
        <f t="shared" si="0"/>
        <v>44</v>
      </c>
      <c r="D14" s="162"/>
      <c r="E14" s="162"/>
      <c r="F14" s="162"/>
      <c r="G14" s="162">
        <v>1</v>
      </c>
      <c r="H14" s="162"/>
      <c r="I14" s="162">
        <v>1</v>
      </c>
      <c r="J14" s="162"/>
      <c r="K14" s="162"/>
      <c r="L14" s="162"/>
      <c r="M14" s="162">
        <v>1</v>
      </c>
      <c r="N14" s="162">
        <v>2</v>
      </c>
      <c r="O14" s="162"/>
      <c r="P14" s="162">
        <v>10</v>
      </c>
      <c r="Q14" s="162"/>
      <c r="R14" s="162"/>
      <c r="S14" s="162"/>
      <c r="T14" s="163"/>
      <c r="U14" s="162">
        <v>5</v>
      </c>
      <c r="V14" s="162"/>
      <c r="W14" s="163">
        <v>6</v>
      </c>
      <c r="X14" s="162"/>
      <c r="Y14" s="162">
        <v>4</v>
      </c>
      <c r="Z14" s="162"/>
      <c r="AA14" s="162">
        <v>5</v>
      </c>
      <c r="AB14" s="162">
        <v>2</v>
      </c>
      <c r="AC14" s="162">
        <v>3</v>
      </c>
      <c r="AD14" s="162"/>
      <c r="AE14" s="162"/>
      <c r="AF14" s="162"/>
      <c r="AG14" s="162"/>
      <c r="AH14" s="162">
        <v>2</v>
      </c>
      <c r="AI14" s="162">
        <v>2</v>
      </c>
      <c r="AJ14" s="344">
        <f t="shared" si="1"/>
        <v>13</v>
      </c>
      <c r="AK14" s="344">
        <f t="shared" si="2"/>
        <v>1</v>
      </c>
      <c r="AL14" s="188">
        <f t="shared" si="3"/>
        <v>1</v>
      </c>
      <c r="AM14" s="39">
        <f t="shared" si="4"/>
      </c>
      <c r="AN14" s="39"/>
      <c r="AO14" s="39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7"/>
      <c r="BC14" s="27"/>
      <c r="BD14" s="27"/>
      <c r="BE14" s="27"/>
      <c r="BF14" s="27"/>
      <c r="BG14" s="22"/>
      <c r="BH14" s="22"/>
      <c r="BI14" s="22"/>
      <c r="BJ14" s="22"/>
      <c r="BK14" s="22"/>
    </row>
    <row r="15" spans="1:71" s="27" customFormat="1" ht="15">
      <c r="A15" s="22"/>
      <c r="B15" s="120" t="s">
        <v>241</v>
      </c>
      <c r="C15" s="94">
        <f t="shared" si="0"/>
        <v>41</v>
      </c>
      <c r="D15" s="162">
        <v>1</v>
      </c>
      <c r="E15" s="162"/>
      <c r="F15" s="162">
        <v>6</v>
      </c>
      <c r="G15" s="162"/>
      <c r="H15" s="162"/>
      <c r="I15" s="162"/>
      <c r="J15" s="162"/>
      <c r="K15" s="162"/>
      <c r="L15" s="162"/>
      <c r="M15" s="162"/>
      <c r="N15" s="162">
        <v>6</v>
      </c>
      <c r="O15" s="162"/>
      <c r="P15" s="162"/>
      <c r="Q15" s="162"/>
      <c r="R15" s="162">
        <v>6</v>
      </c>
      <c r="S15" s="162"/>
      <c r="T15" s="162"/>
      <c r="U15" s="162"/>
      <c r="V15" s="162"/>
      <c r="W15" s="162"/>
      <c r="X15" s="162"/>
      <c r="Y15" s="162">
        <v>1</v>
      </c>
      <c r="Z15" s="162">
        <v>3</v>
      </c>
      <c r="AA15" s="162">
        <v>4</v>
      </c>
      <c r="AB15" s="162">
        <v>4</v>
      </c>
      <c r="AC15" s="162"/>
      <c r="AD15" s="162">
        <v>3</v>
      </c>
      <c r="AE15" s="162">
        <v>1</v>
      </c>
      <c r="AF15" s="162"/>
      <c r="AG15" s="162"/>
      <c r="AH15" s="162"/>
      <c r="AI15" s="162">
        <v>6</v>
      </c>
      <c r="AJ15" s="344">
        <f t="shared" si="1"/>
        <v>11</v>
      </c>
      <c r="AK15" s="344">
        <f t="shared" si="2"/>
        <v>1</v>
      </c>
      <c r="AL15" s="188">
        <f t="shared" si="3"/>
        <v>0</v>
      </c>
      <c r="AM15" s="39">
        <f t="shared" si="4"/>
      </c>
      <c r="AN15" s="39"/>
      <c r="AO15" s="39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9"/>
      <c r="BC15" s="29"/>
      <c r="BD15" s="29"/>
      <c r="BE15" s="29"/>
      <c r="BF15" s="29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</row>
    <row r="16" spans="2:63" ht="15">
      <c r="B16" s="120" t="s">
        <v>245</v>
      </c>
      <c r="C16" s="94">
        <f t="shared" si="0"/>
        <v>38</v>
      </c>
      <c r="D16" s="162">
        <v>3</v>
      </c>
      <c r="E16" s="162"/>
      <c r="F16" s="162"/>
      <c r="G16" s="162"/>
      <c r="H16" s="162"/>
      <c r="I16" s="162"/>
      <c r="J16" s="162"/>
      <c r="K16" s="162">
        <v>5</v>
      </c>
      <c r="L16" s="162"/>
      <c r="M16" s="162">
        <v>4</v>
      </c>
      <c r="N16" s="162"/>
      <c r="O16" s="162">
        <v>10</v>
      </c>
      <c r="P16" s="162"/>
      <c r="Q16" s="162"/>
      <c r="R16" s="163"/>
      <c r="S16" s="162"/>
      <c r="T16" s="163"/>
      <c r="U16" s="162"/>
      <c r="V16" s="162"/>
      <c r="W16" s="162"/>
      <c r="X16" s="162"/>
      <c r="Y16" s="162">
        <v>8</v>
      </c>
      <c r="Z16" s="162"/>
      <c r="AA16" s="162">
        <v>1</v>
      </c>
      <c r="AB16" s="162"/>
      <c r="AC16" s="162"/>
      <c r="AD16" s="163"/>
      <c r="AE16" s="162">
        <v>5</v>
      </c>
      <c r="AF16" s="162"/>
      <c r="AG16" s="162">
        <v>2</v>
      </c>
      <c r="AH16" s="162"/>
      <c r="AI16" s="162"/>
      <c r="AJ16" s="344">
        <f t="shared" si="1"/>
        <v>8</v>
      </c>
      <c r="AK16" s="344">
        <f t="shared" si="2"/>
        <v>1</v>
      </c>
      <c r="AL16" s="188">
        <f t="shared" si="3"/>
        <v>1</v>
      </c>
      <c r="AM16" s="39">
        <f t="shared" si="4"/>
      </c>
      <c r="AN16" s="39"/>
      <c r="AO16" s="39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7"/>
      <c r="BC16" s="27"/>
      <c r="BD16" s="27"/>
      <c r="BE16" s="27"/>
      <c r="BF16" s="27"/>
      <c r="BG16" s="22"/>
      <c r="BH16" s="22"/>
      <c r="BI16" s="22"/>
      <c r="BJ16" s="22"/>
      <c r="BK16" s="22"/>
    </row>
    <row r="17" spans="2:63" ht="15">
      <c r="B17" s="120" t="s">
        <v>238</v>
      </c>
      <c r="C17" s="94">
        <f t="shared" si="0"/>
        <v>35</v>
      </c>
      <c r="D17" s="162"/>
      <c r="E17" s="162">
        <v>1</v>
      </c>
      <c r="F17" s="162"/>
      <c r="G17" s="162"/>
      <c r="H17" s="162"/>
      <c r="I17" s="162"/>
      <c r="J17" s="162"/>
      <c r="K17" s="163">
        <v>2</v>
      </c>
      <c r="L17" s="162"/>
      <c r="M17" s="162"/>
      <c r="N17" s="162"/>
      <c r="O17" s="162">
        <v>10</v>
      </c>
      <c r="P17" s="162"/>
      <c r="Q17" s="163">
        <v>4</v>
      </c>
      <c r="R17" s="162"/>
      <c r="S17" s="162"/>
      <c r="T17" s="162"/>
      <c r="U17" s="163"/>
      <c r="V17" s="162"/>
      <c r="W17" s="162"/>
      <c r="X17" s="162"/>
      <c r="Y17" s="163"/>
      <c r="Z17" s="163"/>
      <c r="AA17" s="162"/>
      <c r="AB17" s="162"/>
      <c r="AC17" s="163">
        <v>4</v>
      </c>
      <c r="AD17" s="162"/>
      <c r="AE17" s="162">
        <v>8</v>
      </c>
      <c r="AF17" s="162"/>
      <c r="AG17" s="162"/>
      <c r="AH17" s="162">
        <v>6</v>
      </c>
      <c r="AI17" s="162"/>
      <c r="AJ17" s="344">
        <f t="shared" si="1"/>
        <v>7</v>
      </c>
      <c r="AK17" s="344">
        <f t="shared" si="2"/>
        <v>1</v>
      </c>
      <c r="AL17" s="188">
        <f t="shared" si="3"/>
        <v>1</v>
      </c>
      <c r="AM17" s="39">
        <f t="shared" si="4"/>
      </c>
      <c r="AN17" s="39"/>
      <c r="AO17" s="39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G17" s="22"/>
      <c r="BH17" s="22"/>
      <c r="BI17" s="22"/>
      <c r="BJ17" s="22"/>
      <c r="BK17" s="22"/>
    </row>
    <row r="18" spans="1:71" ht="15">
      <c r="A18" s="27"/>
      <c r="B18" s="120" t="s">
        <v>251</v>
      </c>
      <c r="C18" s="94">
        <f t="shared" si="0"/>
        <v>33</v>
      </c>
      <c r="D18" s="162"/>
      <c r="E18" s="162"/>
      <c r="F18" s="162"/>
      <c r="G18" s="162"/>
      <c r="H18" s="162"/>
      <c r="I18" s="162"/>
      <c r="J18" s="162"/>
      <c r="K18" s="162">
        <v>6</v>
      </c>
      <c r="L18" s="162"/>
      <c r="M18" s="162"/>
      <c r="N18" s="162">
        <v>1</v>
      </c>
      <c r="O18" s="162"/>
      <c r="P18" s="162"/>
      <c r="Q18" s="162"/>
      <c r="R18" s="162"/>
      <c r="S18" s="162"/>
      <c r="T18" s="162">
        <v>5</v>
      </c>
      <c r="U18" s="162"/>
      <c r="V18" s="162"/>
      <c r="W18" s="162">
        <v>1</v>
      </c>
      <c r="X18" s="162">
        <v>3</v>
      </c>
      <c r="Y18" s="162">
        <v>2</v>
      </c>
      <c r="Z18" s="162"/>
      <c r="AA18" s="162"/>
      <c r="AB18" s="162"/>
      <c r="AC18" s="162"/>
      <c r="AD18" s="162">
        <v>4</v>
      </c>
      <c r="AE18" s="162">
        <v>6</v>
      </c>
      <c r="AF18" s="162">
        <v>2</v>
      </c>
      <c r="AG18" s="162"/>
      <c r="AH18" s="162"/>
      <c r="AI18" s="162">
        <v>3</v>
      </c>
      <c r="AJ18" s="344">
        <f t="shared" si="1"/>
        <v>10</v>
      </c>
      <c r="AK18" s="344">
        <f t="shared" si="2"/>
        <v>1</v>
      </c>
      <c r="AL18" s="188">
        <f t="shared" si="3"/>
        <v>0</v>
      </c>
      <c r="AM18" s="39">
        <f t="shared" si="4"/>
      </c>
      <c r="AN18" s="39"/>
      <c r="AO18" s="183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</row>
    <row r="19" spans="2:63" ht="15">
      <c r="B19" s="120" t="s">
        <v>248</v>
      </c>
      <c r="C19" s="94">
        <f t="shared" si="0"/>
        <v>27</v>
      </c>
      <c r="D19" s="162"/>
      <c r="E19" s="162">
        <v>4</v>
      </c>
      <c r="F19" s="162"/>
      <c r="G19" s="162"/>
      <c r="H19" s="162">
        <v>1</v>
      </c>
      <c r="I19" s="162">
        <v>3</v>
      </c>
      <c r="J19" s="162">
        <v>4</v>
      </c>
      <c r="K19" s="163"/>
      <c r="L19" s="163"/>
      <c r="M19" s="162"/>
      <c r="N19" s="162"/>
      <c r="O19" s="162"/>
      <c r="P19" s="162"/>
      <c r="Q19" s="162"/>
      <c r="R19" s="162"/>
      <c r="S19" s="163">
        <v>3</v>
      </c>
      <c r="T19" s="162">
        <v>1</v>
      </c>
      <c r="U19" s="162"/>
      <c r="V19" s="162">
        <v>5</v>
      </c>
      <c r="W19" s="162"/>
      <c r="X19" s="162"/>
      <c r="Y19" s="162"/>
      <c r="Z19" s="162"/>
      <c r="AA19" s="162"/>
      <c r="AB19" s="162">
        <v>1</v>
      </c>
      <c r="AC19" s="162"/>
      <c r="AD19" s="162">
        <v>5</v>
      </c>
      <c r="AE19" s="162"/>
      <c r="AF19" s="162"/>
      <c r="AG19" s="162"/>
      <c r="AH19" s="162"/>
      <c r="AI19" s="162"/>
      <c r="AJ19" s="344">
        <f t="shared" si="1"/>
        <v>9</v>
      </c>
      <c r="AK19" s="344">
        <f t="shared" si="2"/>
        <v>1</v>
      </c>
      <c r="AL19" s="188">
        <f t="shared" si="3"/>
        <v>0</v>
      </c>
      <c r="AM19" s="39">
        <f t="shared" si="4"/>
      </c>
      <c r="AN19" s="39"/>
      <c r="AO19" s="39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</row>
    <row r="20" spans="2:63" ht="15">
      <c r="B20" s="120" t="s">
        <v>249</v>
      </c>
      <c r="C20" s="94">
        <f t="shared" si="0"/>
        <v>13</v>
      </c>
      <c r="D20" s="162"/>
      <c r="E20" s="162"/>
      <c r="F20" s="162"/>
      <c r="G20" s="162"/>
      <c r="H20" s="162"/>
      <c r="I20" s="162"/>
      <c r="J20" s="162">
        <v>4</v>
      </c>
      <c r="K20" s="162"/>
      <c r="L20" s="162">
        <v>1</v>
      </c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>
        <v>4</v>
      </c>
      <c r="X20" s="162"/>
      <c r="Y20" s="162"/>
      <c r="Z20" s="162"/>
      <c r="AA20" s="162"/>
      <c r="AB20" s="162"/>
      <c r="AC20" s="162">
        <v>1</v>
      </c>
      <c r="AD20" s="162"/>
      <c r="AE20" s="162"/>
      <c r="AF20" s="162">
        <v>3</v>
      </c>
      <c r="AG20" s="162"/>
      <c r="AH20" s="162"/>
      <c r="AI20" s="162"/>
      <c r="AJ20" s="344">
        <f t="shared" si="1"/>
        <v>5</v>
      </c>
      <c r="AK20" s="344">
        <f t="shared" si="2"/>
        <v>1</v>
      </c>
      <c r="AL20" s="188">
        <f t="shared" si="3"/>
        <v>0</v>
      </c>
      <c r="AM20" s="39">
        <f t="shared" si="4"/>
      </c>
      <c r="AN20" s="39"/>
      <c r="AO20" s="39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</row>
    <row r="21" spans="2:63" ht="15">
      <c r="B21" s="120" t="s">
        <v>247</v>
      </c>
      <c r="C21" s="94">
        <f t="shared" si="0"/>
        <v>12</v>
      </c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>
        <v>4</v>
      </c>
      <c r="Q21" s="162">
        <v>1</v>
      </c>
      <c r="R21" s="162">
        <v>1</v>
      </c>
      <c r="S21" s="162"/>
      <c r="T21" s="162"/>
      <c r="U21" s="162">
        <v>1</v>
      </c>
      <c r="V21" s="162"/>
      <c r="W21" s="162"/>
      <c r="X21" s="162"/>
      <c r="Y21" s="162"/>
      <c r="Z21" s="162">
        <v>1</v>
      </c>
      <c r="AA21" s="162">
        <v>3</v>
      </c>
      <c r="AB21" s="162"/>
      <c r="AC21" s="162"/>
      <c r="AD21" s="162"/>
      <c r="AE21" s="162"/>
      <c r="AF21" s="162"/>
      <c r="AG21" s="162"/>
      <c r="AH21" s="162">
        <v>1</v>
      </c>
      <c r="AI21" s="162"/>
      <c r="AJ21" s="344">
        <f t="shared" si="1"/>
        <v>7</v>
      </c>
      <c r="AK21" s="344">
        <f t="shared" si="2"/>
        <v>1</v>
      </c>
      <c r="AL21" s="188">
        <f t="shared" si="3"/>
        <v>0</v>
      </c>
      <c r="AM21" s="39">
        <f t="shared" si="4"/>
      </c>
      <c r="AN21" s="39"/>
      <c r="AO21" s="39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</row>
    <row r="22" spans="2:63" ht="15">
      <c r="B22" s="120" t="s">
        <v>242</v>
      </c>
      <c r="C22" s="94">
        <f t="shared" si="0"/>
        <v>11</v>
      </c>
      <c r="D22" s="162"/>
      <c r="E22" s="162"/>
      <c r="F22" s="162"/>
      <c r="G22" s="162"/>
      <c r="H22" s="162"/>
      <c r="I22" s="162"/>
      <c r="J22" s="162">
        <v>2</v>
      </c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>
        <v>5</v>
      </c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>
        <v>4</v>
      </c>
      <c r="AI22" s="162"/>
      <c r="AJ22" s="344">
        <f t="shared" si="1"/>
        <v>3</v>
      </c>
      <c r="AK22" s="344">
        <f t="shared" si="2"/>
        <v>2</v>
      </c>
      <c r="AL22" s="188">
        <f t="shared" si="3"/>
        <v>0</v>
      </c>
      <c r="AM22" s="39">
        <f t="shared" si="4"/>
      </c>
      <c r="AN22" s="39"/>
      <c r="AO22" s="39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</row>
    <row r="23" spans="2:63" ht="15">
      <c r="B23" s="120" t="s">
        <v>227</v>
      </c>
      <c r="C23" s="94">
        <f t="shared" si="0"/>
        <v>10</v>
      </c>
      <c r="D23" s="162"/>
      <c r="E23" s="162"/>
      <c r="F23" s="162"/>
      <c r="G23" s="162"/>
      <c r="H23" s="162"/>
      <c r="I23" s="162"/>
      <c r="J23" s="162"/>
      <c r="K23" s="162"/>
      <c r="L23" s="162">
        <v>3</v>
      </c>
      <c r="M23" s="162"/>
      <c r="N23" s="162"/>
      <c r="O23" s="162"/>
      <c r="P23" s="162"/>
      <c r="Q23" s="162">
        <v>2</v>
      </c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>
        <v>5</v>
      </c>
      <c r="AG23" s="162"/>
      <c r="AH23" s="162"/>
      <c r="AI23" s="162"/>
      <c r="AJ23" s="344">
        <f t="shared" si="1"/>
        <v>3</v>
      </c>
      <c r="AK23" s="344">
        <f t="shared" si="2"/>
        <v>2</v>
      </c>
      <c r="AL23" s="188">
        <f t="shared" si="3"/>
        <v>0</v>
      </c>
      <c r="AM23" s="39">
        <f t="shared" si="4"/>
      </c>
      <c r="AN23" s="39"/>
      <c r="AO23" s="39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</row>
    <row r="24" spans="2:63" ht="15">
      <c r="B24" s="120" t="s">
        <v>257</v>
      </c>
      <c r="C24" s="94">
        <f t="shared" si="0"/>
        <v>8</v>
      </c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>
        <v>8</v>
      </c>
      <c r="AI24" s="162"/>
      <c r="AJ24" s="344">
        <f t="shared" si="1"/>
        <v>1</v>
      </c>
      <c r="AK24" s="344">
        <f t="shared" si="2"/>
        <v>8</v>
      </c>
      <c r="AL24" s="188">
        <f t="shared" si="3"/>
        <v>0</v>
      </c>
      <c r="AM24" s="39">
        <f t="shared" si="4"/>
      </c>
      <c r="AN24" s="183"/>
      <c r="AO24" s="39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</row>
    <row r="25" spans="2:63" ht="15">
      <c r="B25" s="120" t="s">
        <v>225</v>
      </c>
      <c r="C25" s="94">
        <f t="shared" si="0"/>
        <v>8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>
        <v>8</v>
      </c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344">
        <f t="shared" si="1"/>
        <v>1</v>
      </c>
      <c r="AK25" s="344">
        <f t="shared" si="2"/>
        <v>8</v>
      </c>
      <c r="AL25" s="188">
        <f t="shared" si="3"/>
        <v>0</v>
      </c>
      <c r="AM25" s="39">
        <f t="shared" si="4"/>
      </c>
      <c r="AN25" s="39"/>
      <c r="AO25" s="39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</row>
    <row r="26" spans="2:63" ht="15">
      <c r="B26" s="120" t="s">
        <v>328</v>
      </c>
      <c r="C26" s="94">
        <f t="shared" si="0"/>
        <v>7</v>
      </c>
      <c r="D26" s="162"/>
      <c r="E26" s="162"/>
      <c r="F26" s="162"/>
      <c r="G26" s="162"/>
      <c r="H26" s="162">
        <v>2</v>
      </c>
      <c r="I26" s="162"/>
      <c r="J26" s="162"/>
      <c r="K26" s="162"/>
      <c r="L26" s="162"/>
      <c r="M26" s="162"/>
      <c r="N26" s="162">
        <v>5</v>
      </c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344">
        <f t="shared" si="1"/>
        <v>2</v>
      </c>
      <c r="AK26" s="344">
        <f t="shared" si="2"/>
        <v>2</v>
      </c>
      <c r="AL26" s="188">
        <f t="shared" si="3"/>
        <v>0</v>
      </c>
      <c r="AM26" s="39">
        <f t="shared" si="4"/>
      </c>
      <c r="AN26" s="39"/>
      <c r="AO26" s="39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</row>
    <row r="27" spans="2:63" ht="15">
      <c r="B27" s="114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6"/>
      <c r="AK27" s="116"/>
      <c r="AL27" s="189"/>
      <c r="AM27" s="39"/>
      <c r="AN27" s="39"/>
      <c r="AO27" s="39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</row>
    <row r="28" spans="3:63" s="109" customFormat="1" ht="16.5" customHeight="1">
      <c r="C28" s="110"/>
      <c r="D28" s="111">
        <f aca="true" t="shared" si="5" ref="D28:AI28">SUM(D3:D26)</f>
        <v>39</v>
      </c>
      <c r="E28" s="111">
        <f t="shared" si="5"/>
        <v>36</v>
      </c>
      <c r="F28" s="111">
        <f t="shared" si="5"/>
        <v>38</v>
      </c>
      <c r="G28" s="111">
        <f t="shared" si="5"/>
        <v>39</v>
      </c>
      <c r="H28" s="111">
        <f t="shared" si="5"/>
        <v>39</v>
      </c>
      <c r="I28" s="111">
        <f t="shared" si="5"/>
        <v>37</v>
      </c>
      <c r="J28" s="111">
        <f t="shared" si="5"/>
        <v>34</v>
      </c>
      <c r="K28" s="111">
        <f t="shared" si="5"/>
        <v>38</v>
      </c>
      <c r="L28" s="111">
        <f t="shared" si="5"/>
        <v>39</v>
      </c>
      <c r="M28" s="111">
        <f t="shared" si="5"/>
        <v>39</v>
      </c>
      <c r="N28" s="111">
        <f t="shared" si="5"/>
        <v>39</v>
      </c>
      <c r="O28" s="111">
        <f t="shared" si="5"/>
        <v>42</v>
      </c>
      <c r="P28" s="111">
        <f t="shared" si="5"/>
        <v>33</v>
      </c>
      <c r="Q28" s="111">
        <f t="shared" si="5"/>
        <v>39</v>
      </c>
      <c r="R28" s="111">
        <f t="shared" si="5"/>
        <v>39</v>
      </c>
      <c r="S28" s="111">
        <f t="shared" si="5"/>
        <v>38</v>
      </c>
      <c r="T28" s="111">
        <f t="shared" si="5"/>
        <v>37</v>
      </c>
      <c r="U28" s="111">
        <f t="shared" si="5"/>
        <v>36</v>
      </c>
      <c r="V28" s="111">
        <f t="shared" si="5"/>
        <v>39</v>
      </c>
      <c r="W28" s="111">
        <f t="shared" si="5"/>
        <v>39</v>
      </c>
      <c r="X28" s="111">
        <f t="shared" si="5"/>
        <v>34</v>
      </c>
      <c r="Y28" s="111">
        <f t="shared" si="5"/>
        <v>39</v>
      </c>
      <c r="Z28" s="111">
        <f t="shared" si="5"/>
        <v>37</v>
      </c>
      <c r="AA28" s="111">
        <f t="shared" si="5"/>
        <v>39</v>
      </c>
      <c r="AB28" s="111">
        <f t="shared" si="5"/>
        <v>39</v>
      </c>
      <c r="AC28" s="111">
        <f t="shared" si="5"/>
        <v>39</v>
      </c>
      <c r="AD28" s="111">
        <f t="shared" si="5"/>
        <v>39</v>
      </c>
      <c r="AE28" s="111">
        <f t="shared" si="5"/>
        <v>36</v>
      </c>
      <c r="AF28" s="111">
        <f t="shared" si="5"/>
        <v>38</v>
      </c>
      <c r="AG28" s="111">
        <f t="shared" si="5"/>
        <v>38</v>
      </c>
      <c r="AH28" s="111">
        <f t="shared" si="5"/>
        <v>39</v>
      </c>
      <c r="AI28" s="111">
        <f t="shared" si="5"/>
        <v>35</v>
      </c>
      <c r="AJ28" s="117"/>
      <c r="AK28" s="117"/>
      <c r="AL28" s="19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</row>
    <row r="29" spans="2:63" ht="15">
      <c r="B29" s="31" t="s">
        <v>46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118"/>
      <c r="AK29" s="118"/>
      <c r="AL29" s="191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</row>
    <row r="30" spans="3:21" ht="15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ht="15">
      <c r="C31" s="145"/>
    </row>
  </sheetData>
  <sheetProtection/>
  <printOptions horizontalCentered="1" verticalCentered="1"/>
  <pageMargins left="0.4330708661417323" right="0.4330708661417323" top="0.5511811023622047" bottom="0.5511811023622047" header="0.31496062992125984" footer="0.31496062992125984"/>
  <pageSetup orientation="landscape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A1:G46"/>
  <sheetViews>
    <sheetView zoomScalePageLayoutView="0" workbookViewId="0" topLeftCell="A1">
      <selection activeCell="I42" sqref="I42"/>
    </sheetView>
  </sheetViews>
  <sheetFormatPr defaultColWidth="11.421875" defaultRowHeight="12.75"/>
  <cols>
    <col min="1" max="1" width="14.8515625" style="0" customWidth="1"/>
    <col min="2" max="2" width="5.421875" style="0" bestFit="1" customWidth="1"/>
    <col min="3" max="3" width="10.421875" style="0" bestFit="1" customWidth="1"/>
    <col min="4" max="4" width="27.7109375" style="0" bestFit="1" customWidth="1"/>
    <col min="5" max="5" width="11.421875" style="0" customWidth="1"/>
    <col min="6" max="6" width="18.140625" style="0" bestFit="1" customWidth="1"/>
    <col min="7" max="7" width="6.8515625" style="0" bestFit="1" customWidth="1"/>
  </cols>
  <sheetData>
    <row r="1" spans="1:7" ht="15">
      <c r="A1" s="304" t="s">
        <v>165</v>
      </c>
      <c r="B1" s="305"/>
      <c r="C1" s="305"/>
      <c r="D1" s="305"/>
      <c r="E1" s="305"/>
      <c r="F1" s="305"/>
      <c r="G1" s="305"/>
    </row>
    <row r="2" spans="1:7" ht="12">
      <c r="A2" s="305" t="s">
        <v>166</v>
      </c>
      <c r="B2" s="305"/>
      <c r="C2" s="305"/>
      <c r="D2" s="305"/>
      <c r="E2" s="305"/>
      <c r="F2" s="305"/>
      <c r="G2" s="305"/>
    </row>
    <row r="3" spans="1:7" ht="12">
      <c r="A3" s="305"/>
      <c r="B3" s="305"/>
      <c r="C3" s="305"/>
      <c r="D3" s="305"/>
      <c r="E3" s="305"/>
      <c r="F3" s="305"/>
      <c r="G3" s="305"/>
    </row>
    <row r="4" spans="1:7" ht="15">
      <c r="A4" s="376" t="s">
        <v>167</v>
      </c>
      <c r="B4" s="376"/>
      <c r="C4" s="376"/>
      <c r="D4" s="376"/>
      <c r="E4" s="376"/>
      <c r="F4" s="376"/>
      <c r="G4" s="376"/>
    </row>
    <row r="5" spans="1:7" ht="15">
      <c r="A5" s="304" t="s">
        <v>36</v>
      </c>
      <c r="B5" s="304" t="s">
        <v>168</v>
      </c>
      <c r="C5" s="304" t="s">
        <v>169</v>
      </c>
      <c r="D5" s="304" t="s">
        <v>170</v>
      </c>
      <c r="E5" s="304" t="s">
        <v>171</v>
      </c>
      <c r="F5" s="304" t="s">
        <v>172</v>
      </c>
      <c r="G5" s="306" t="s">
        <v>37</v>
      </c>
    </row>
    <row r="6" spans="1:7" ht="12">
      <c r="A6" s="307">
        <v>40979</v>
      </c>
      <c r="B6" s="308">
        <v>1462.4166666666667</v>
      </c>
      <c r="C6" s="305" t="s">
        <v>173</v>
      </c>
      <c r="D6" s="305" t="s">
        <v>174</v>
      </c>
      <c r="E6" s="305" t="s">
        <v>175</v>
      </c>
      <c r="F6" s="305" t="s">
        <v>176</v>
      </c>
      <c r="G6" s="309" t="s">
        <v>177</v>
      </c>
    </row>
    <row r="7" spans="1:7" ht="12">
      <c r="A7" s="307">
        <v>40986</v>
      </c>
      <c r="B7" s="308">
        <v>1462.4166666666667</v>
      </c>
      <c r="C7" s="305" t="s">
        <v>173</v>
      </c>
      <c r="D7" s="305" t="s">
        <v>178</v>
      </c>
      <c r="E7" s="305" t="s">
        <v>175</v>
      </c>
      <c r="F7" s="305" t="s">
        <v>176</v>
      </c>
      <c r="G7" s="309" t="s">
        <v>177</v>
      </c>
    </row>
    <row r="8" spans="1:7" ht="12">
      <c r="A8" s="307">
        <v>40993</v>
      </c>
      <c r="B8" s="308">
        <v>1462.4166666666667</v>
      </c>
      <c r="C8" s="305" t="s">
        <v>173</v>
      </c>
      <c r="D8" s="305" t="s">
        <v>179</v>
      </c>
      <c r="E8" s="305" t="s">
        <v>175</v>
      </c>
      <c r="F8" s="305" t="s">
        <v>176</v>
      </c>
      <c r="G8" s="309" t="s">
        <v>177</v>
      </c>
    </row>
    <row r="9" spans="1:7" ht="12">
      <c r="A9" s="310"/>
      <c r="B9" s="305" t="s">
        <v>180</v>
      </c>
      <c r="C9" s="305" t="s">
        <v>180</v>
      </c>
      <c r="D9" s="305" t="s">
        <v>180</v>
      </c>
      <c r="E9" s="305" t="s">
        <v>180</v>
      </c>
      <c r="F9" s="305" t="s">
        <v>180</v>
      </c>
      <c r="G9" s="305"/>
    </row>
    <row r="10" spans="1:7" ht="15">
      <c r="A10" s="377" t="s">
        <v>181</v>
      </c>
      <c r="B10" s="377"/>
      <c r="C10" s="377"/>
      <c r="D10" s="377"/>
      <c r="E10" s="377"/>
      <c r="F10" s="377"/>
      <c r="G10" s="377"/>
    </row>
    <row r="11" spans="1:7" ht="15">
      <c r="A11" s="311" t="s">
        <v>36</v>
      </c>
      <c r="B11" s="304" t="s">
        <v>168</v>
      </c>
      <c r="C11" s="304" t="s">
        <v>169</v>
      </c>
      <c r="D11" s="304" t="s">
        <v>170</v>
      </c>
      <c r="E11" s="304" t="s">
        <v>171</v>
      </c>
      <c r="F11" s="304" t="s">
        <v>172</v>
      </c>
      <c r="G11" s="306" t="s">
        <v>37</v>
      </c>
    </row>
    <row r="12" spans="1:7" ht="12">
      <c r="A12" s="307">
        <v>40997</v>
      </c>
      <c r="B12" s="312">
        <v>0.6666666666666666</v>
      </c>
      <c r="C12" s="313">
        <v>6000000</v>
      </c>
      <c r="D12" s="305" t="s">
        <v>68</v>
      </c>
      <c r="E12" s="305" t="s">
        <v>175</v>
      </c>
      <c r="F12" s="305" t="s">
        <v>180</v>
      </c>
      <c r="G12" s="309" t="s">
        <v>182</v>
      </c>
    </row>
    <row r="13" spans="1:7" ht="12">
      <c r="A13" s="307">
        <v>41004</v>
      </c>
      <c r="B13" s="312">
        <v>0.3333333333333333</v>
      </c>
      <c r="C13" s="313">
        <v>8000000</v>
      </c>
      <c r="D13" s="305" t="s">
        <v>69</v>
      </c>
      <c r="E13" s="305" t="s">
        <v>175</v>
      </c>
      <c r="F13" s="305" t="s">
        <v>183</v>
      </c>
      <c r="G13" s="309" t="s">
        <v>182</v>
      </c>
    </row>
    <row r="14" spans="1:7" ht="12">
      <c r="A14" s="307">
        <v>41011</v>
      </c>
      <c r="B14" s="312">
        <v>0.6666666666666666</v>
      </c>
      <c r="C14" s="313">
        <v>6000000</v>
      </c>
      <c r="D14" s="305" t="s">
        <v>112</v>
      </c>
      <c r="E14" s="305" t="s">
        <v>175</v>
      </c>
      <c r="F14" s="305"/>
      <c r="G14" s="309" t="s">
        <v>182</v>
      </c>
    </row>
    <row r="15" spans="1:7" ht="12">
      <c r="A15" s="307">
        <v>41018</v>
      </c>
      <c r="B15" s="312">
        <v>0.6666666666666666</v>
      </c>
      <c r="C15" s="313">
        <v>6000000</v>
      </c>
      <c r="D15" s="305" t="s">
        <v>79</v>
      </c>
      <c r="E15" s="305" t="s">
        <v>175</v>
      </c>
      <c r="F15" s="305" t="s">
        <v>184</v>
      </c>
      <c r="G15" s="309" t="s">
        <v>185</v>
      </c>
    </row>
    <row r="16" spans="1:7" ht="12">
      <c r="A16" s="307">
        <v>41025</v>
      </c>
      <c r="B16" s="312">
        <v>0.6666666666666666</v>
      </c>
      <c r="C16" s="313">
        <v>6000000</v>
      </c>
      <c r="D16" s="305" t="s">
        <v>81</v>
      </c>
      <c r="E16" s="305" t="s">
        <v>175</v>
      </c>
      <c r="F16" s="305" t="s">
        <v>186</v>
      </c>
      <c r="G16" s="309" t="s">
        <v>187</v>
      </c>
    </row>
    <row r="17" spans="1:7" ht="12">
      <c r="A17" s="307">
        <v>41032</v>
      </c>
      <c r="B17" s="312">
        <v>0.6666666666666666</v>
      </c>
      <c r="C17" s="313">
        <v>6000000</v>
      </c>
      <c r="D17" s="305" t="s">
        <v>82</v>
      </c>
      <c r="E17" s="305" t="s">
        <v>175</v>
      </c>
      <c r="F17" s="305" t="s">
        <v>188</v>
      </c>
      <c r="G17" s="309" t="s">
        <v>182</v>
      </c>
    </row>
    <row r="18" spans="1:7" ht="12">
      <c r="A18" s="307">
        <v>41039</v>
      </c>
      <c r="B18" s="312">
        <v>0.6666666666666666</v>
      </c>
      <c r="C18" s="313">
        <v>8000000</v>
      </c>
      <c r="D18" s="305" t="s">
        <v>83</v>
      </c>
      <c r="E18" s="305" t="s">
        <v>175</v>
      </c>
      <c r="F18" s="305"/>
      <c r="G18" s="309" t="s">
        <v>185</v>
      </c>
    </row>
    <row r="19" spans="1:7" ht="12">
      <c r="A19" s="307">
        <v>41046</v>
      </c>
      <c r="B19" s="312">
        <v>0.3333333333333333</v>
      </c>
      <c r="C19" s="313">
        <v>6000000</v>
      </c>
      <c r="D19" s="305" t="s">
        <v>84</v>
      </c>
      <c r="E19" s="305" t="s">
        <v>175</v>
      </c>
      <c r="F19" s="305" t="s">
        <v>190</v>
      </c>
      <c r="G19" s="309" t="s">
        <v>187</v>
      </c>
    </row>
    <row r="20" spans="1:7" ht="12">
      <c r="A20" s="307">
        <v>41053</v>
      </c>
      <c r="B20" s="312">
        <v>0.6666666666666666</v>
      </c>
      <c r="C20" s="313">
        <v>6000000</v>
      </c>
      <c r="D20" s="305" t="s">
        <v>191</v>
      </c>
      <c r="E20" s="305" t="s">
        <v>175</v>
      </c>
      <c r="F20" s="305" t="s">
        <v>184</v>
      </c>
      <c r="G20" s="309" t="s">
        <v>182</v>
      </c>
    </row>
    <row r="21" spans="1:7" ht="12">
      <c r="A21" s="307">
        <v>41060</v>
      </c>
      <c r="B21" s="312">
        <v>0.6666666666666666</v>
      </c>
      <c r="C21" s="313">
        <v>6000000</v>
      </c>
      <c r="D21" s="305" t="s">
        <v>192</v>
      </c>
      <c r="E21" s="305" t="s">
        <v>175</v>
      </c>
      <c r="F21" s="305" t="s">
        <v>193</v>
      </c>
      <c r="G21" s="309" t="s">
        <v>185</v>
      </c>
    </row>
    <row r="22" spans="1:7" ht="12">
      <c r="A22" s="307">
        <v>41067</v>
      </c>
      <c r="B22" s="312">
        <v>0.6666666666666666</v>
      </c>
      <c r="C22" s="313">
        <v>6000000</v>
      </c>
      <c r="D22" s="305" t="s">
        <v>86</v>
      </c>
      <c r="E22" s="305" t="s">
        <v>175</v>
      </c>
      <c r="F22" s="305"/>
      <c r="G22" s="309" t="s">
        <v>187</v>
      </c>
    </row>
    <row r="23" spans="1:7" ht="12">
      <c r="A23" s="307">
        <v>41074</v>
      </c>
      <c r="B23" s="312">
        <v>0.6666666666666666</v>
      </c>
      <c r="C23" s="313">
        <v>8000000</v>
      </c>
      <c r="D23" s="305" t="s">
        <v>194</v>
      </c>
      <c r="E23" s="305" t="s">
        <v>189</v>
      </c>
      <c r="F23" s="305"/>
      <c r="G23" s="309" t="s">
        <v>182</v>
      </c>
    </row>
    <row r="24" spans="1:7" ht="12">
      <c r="A24" s="307">
        <v>41081</v>
      </c>
      <c r="B24" s="312">
        <v>0.6666666666666666</v>
      </c>
      <c r="C24" s="313">
        <v>6000000</v>
      </c>
      <c r="D24" s="305" t="s">
        <v>88</v>
      </c>
      <c r="E24" s="305" t="s">
        <v>175</v>
      </c>
      <c r="F24" s="305" t="s">
        <v>184</v>
      </c>
      <c r="G24" s="309" t="s">
        <v>185</v>
      </c>
    </row>
    <row r="25" spans="1:7" ht="12">
      <c r="A25" s="307">
        <v>41088</v>
      </c>
      <c r="B25" s="312">
        <v>0.6666666666666666</v>
      </c>
      <c r="C25" s="313">
        <v>6000000</v>
      </c>
      <c r="D25" s="305" t="s">
        <v>89</v>
      </c>
      <c r="E25" s="305" t="s">
        <v>175</v>
      </c>
      <c r="F25" s="305" t="s">
        <v>180</v>
      </c>
      <c r="G25" s="309" t="s">
        <v>187</v>
      </c>
    </row>
    <row r="26" spans="1:7" ht="12">
      <c r="A26" s="307">
        <v>41095</v>
      </c>
      <c r="B26" s="312">
        <v>0.6666666666666666</v>
      </c>
      <c r="C26" s="313">
        <v>6000000</v>
      </c>
      <c r="D26" s="305" t="s">
        <v>195</v>
      </c>
      <c r="E26" s="305" t="s">
        <v>175</v>
      </c>
      <c r="F26" s="305" t="s">
        <v>196</v>
      </c>
      <c r="G26" s="309" t="s">
        <v>182</v>
      </c>
    </row>
    <row r="27" spans="1:7" ht="12">
      <c r="A27" s="307">
        <v>41102</v>
      </c>
      <c r="B27" s="312">
        <v>0.6666666666666666</v>
      </c>
      <c r="C27" s="313">
        <v>6000000</v>
      </c>
      <c r="D27" s="305" t="s">
        <v>90</v>
      </c>
      <c r="E27" s="305" t="s">
        <v>189</v>
      </c>
      <c r="F27" s="305"/>
      <c r="G27" s="309" t="s">
        <v>185</v>
      </c>
    </row>
    <row r="28" spans="1:7" ht="12">
      <c r="A28" s="307">
        <v>41109</v>
      </c>
      <c r="B28" s="312">
        <v>0.6666666666666666</v>
      </c>
      <c r="C28" s="313">
        <v>8000000</v>
      </c>
      <c r="D28" s="305" t="s">
        <v>197</v>
      </c>
      <c r="E28" s="305" t="s">
        <v>175</v>
      </c>
      <c r="F28" s="305" t="s">
        <v>184</v>
      </c>
      <c r="G28" s="309" t="s">
        <v>187</v>
      </c>
    </row>
    <row r="29" spans="1:7" ht="12">
      <c r="A29" s="307">
        <v>41116</v>
      </c>
      <c r="B29" s="312">
        <v>0.6666666666666666</v>
      </c>
      <c r="C29" s="313">
        <v>6000000</v>
      </c>
      <c r="D29" s="305" t="s">
        <v>92</v>
      </c>
      <c r="E29" s="305" t="s">
        <v>175</v>
      </c>
      <c r="F29" s="305" t="s">
        <v>180</v>
      </c>
      <c r="G29" s="309" t="s">
        <v>182</v>
      </c>
    </row>
    <row r="30" spans="1:7" ht="12">
      <c r="A30" s="307">
        <v>41123</v>
      </c>
      <c r="B30" s="312">
        <v>0.6666666666666666</v>
      </c>
      <c r="C30" s="313">
        <v>6000000</v>
      </c>
      <c r="D30" s="305" t="s">
        <v>198</v>
      </c>
      <c r="E30" s="305" t="s">
        <v>199</v>
      </c>
      <c r="F30" s="305"/>
      <c r="G30" s="309" t="s">
        <v>185</v>
      </c>
    </row>
    <row r="31" spans="1:7" ht="12">
      <c r="A31" s="307">
        <v>41130</v>
      </c>
      <c r="B31" s="312">
        <v>0.6666666666666666</v>
      </c>
      <c r="C31" s="313">
        <v>8000000</v>
      </c>
      <c r="D31" s="305" t="s">
        <v>93</v>
      </c>
      <c r="E31" s="305" t="s">
        <v>189</v>
      </c>
      <c r="F31" s="305" t="s">
        <v>180</v>
      </c>
      <c r="G31" s="309" t="s">
        <v>187</v>
      </c>
    </row>
    <row r="32" spans="1:7" ht="12">
      <c r="A32" s="307">
        <v>41137</v>
      </c>
      <c r="B32" s="312">
        <v>0.6666666666666666</v>
      </c>
      <c r="C32" s="313">
        <v>6000000</v>
      </c>
      <c r="D32" s="305" t="s">
        <v>95</v>
      </c>
      <c r="E32" s="305" t="s">
        <v>175</v>
      </c>
      <c r="F32" s="305" t="s">
        <v>180</v>
      </c>
      <c r="G32" s="309" t="s">
        <v>182</v>
      </c>
    </row>
    <row r="33" spans="1:7" ht="12">
      <c r="A33" s="307">
        <v>41144</v>
      </c>
      <c r="B33" s="312">
        <v>0.6666666666666666</v>
      </c>
      <c r="C33" s="313">
        <v>6000000</v>
      </c>
      <c r="D33" s="305" t="s">
        <v>96</v>
      </c>
      <c r="E33" s="305" t="s">
        <v>175</v>
      </c>
      <c r="F33" s="305" t="s">
        <v>184</v>
      </c>
      <c r="G33" s="309" t="s">
        <v>185</v>
      </c>
    </row>
    <row r="34" spans="1:7" ht="12">
      <c r="A34" s="307">
        <v>41151</v>
      </c>
      <c r="B34" s="312">
        <v>0.6666666666666666</v>
      </c>
      <c r="C34" s="313">
        <v>6000000</v>
      </c>
      <c r="D34" s="305" t="s">
        <v>97</v>
      </c>
      <c r="E34" s="305" t="s">
        <v>175</v>
      </c>
      <c r="F34" s="305"/>
      <c r="G34" s="309" t="s">
        <v>187</v>
      </c>
    </row>
    <row r="35" spans="1:7" ht="12">
      <c r="A35" s="307">
        <v>41158</v>
      </c>
      <c r="B35" s="312">
        <v>0.6666666666666666</v>
      </c>
      <c r="C35" s="313">
        <v>6000000</v>
      </c>
      <c r="D35" s="305" t="s">
        <v>329</v>
      </c>
      <c r="E35" s="305" t="s">
        <v>175</v>
      </c>
      <c r="F35" s="305" t="s">
        <v>184</v>
      </c>
      <c r="G35" s="309" t="s">
        <v>182</v>
      </c>
    </row>
    <row r="36" spans="1:7" ht="12">
      <c r="A36" s="307">
        <v>41165</v>
      </c>
      <c r="B36" s="312">
        <v>0.6666666666666666</v>
      </c>
      <c r="C36" s="313">
        <v>5000000</v>
      </c>
      <c r="D36" s="305" t="s">
        <v>308</v>
      </c>
      <c r="E36" s="305" t="s">
        <v>175</v>
      </c>
      <c r="F36" s="305" t="s">
        <v>200</v>
      </c>
      <c r="G36" s="309" t="s">
        <v>185</v>
      </c>
    </row>
    <row r="37" spans="1:7" ht="12">
      <c r="A37" s="310"/>
      <c r="B37" s="308"/>
      <c r="C37" s="313"/>
      <c r="D37" s="305"/>
      <c r="E37" s="305"/>
      <c r="F37" s="305"/>
      <c r="G37" s="309"/>
    </row>
    <row r="38" spans="1:7" ht="15">
      <c r="A38" s="377" t="s">
        <v>201</v>
      </c>
      <c r="B38" s="377"/>
      <c r="C38" s="377"/>
      <c r="D38" s="377"/>
      <c r="E38" s="377"/>
      <c r="F38" s="377"/>
      <c r="G38" s="377"/>
    </row>
    <row r="39" spans="1:7" ht="15">
      <c r="A39" s="311" t="s">
        <v>36</v>
      </c>
      <c r="B39" s="304" t="s">
        <v>168</v>
      </c>
      <c r="C39" s="304" t="s">
        <v>169</v>
      </c>
      <c r="D39" s="304" t="s">
        <v>170</v>
      </c>
      <c r="E39" s="304" t="s">
        <v>171</v>
      </c>
      <c r="F39" s="304" t="s">
        <v>172</v>
      </c>
      <c r="G39" s="306" t="s">
        <v>37</v>
      </c>
    </row>
    <row r="40" spans="1:7" ht="12">
      <c r="A40" s="307">
        <v>41172</v>
      </c>
      <c r="B40" s="308">
        <v>0.6666666666666666</v>
      </c>
      <c r="C40" s="313">
        <v>5000000</v>
      </c>
      <c r="D40" s="305" t="s">
        <v>307</v>
      </c>
      <c r="E40" s="305" t="s">
        <v>175</v>
      </c>
      <c r="F40" s="305" t="s">
        <v>200</v>
      </c>
      <c r="G40" s="309" t="s">
        <v>187</v>
      </c>
    </row>
    <row r="41" spans="1:7" ht="12">
      <c r="A41" s="307">
        <v>41179</v>
      </c>
      <c r="B41" s="308">
        <v>0.6666666666666666</v>
      </c>
      <c r="C41" s="313">
        <v>5000000</v>
      </c>
      <c r="D41" s="305" t="s">
        <v>202</v>
      </c>
      <c r="E41" s="305" t="s">
        <v>175</v>
      </c>
      <c r="F41" s="305" t="s">
        <v>200</v>
      </c>
      <c r="G41" s="309" t="s">
        <v>182</v>
      </c>
    </row>
    <row r="42" spans="1:7" ht="12">
      <c r="A42" s="307">
        <v>41181</v>
      </c>
      <c r="B42" s="308">
        <v>1462.34375</v>
      </c>
      <c r="C42" s="313">
        <v>10000000</v>
      </c>
      <c r="D42" s="305" t="s">
        <v>203</v>
      </c>
      <c r="E42" s="305" t="s">
        <v>175</v>
      </c>
      <c r="F42" s="305" t="s">
        <v>204</v>
      </c>
      <c r="G42" s="309" t="s">
        <v>205</v>
      </c>
    </row>
    <row r="43" spans="1:7" ht="12">
      <c r="A43" s="310"/>
      <c r="B43" s="308"/>
      <c r="C43" s="313"/>
      <c r="D43" s="305"/>
      <c r="E43" s="305"/>
      <c r="F43" s="305"/>
      <c r="G43" s="305"/>
    </row>
    <row r="44" spans="1:7" ht="15">
      <c r="A44" s="376" t="s">
        <v>206</v>
      </c>
      <c r="B44" s="376"/>
      <c r="C44" s="376"/>
      <c r="D44" s="376"/>
      <c r="E44" s="376"/>
      <c r="F44" s="376"/>
      <c r="G44" s="376"/>
    </row>
    <row r="45" spans="1:7" ht="12">
      <c r="A45" s="307">
        <v>41041</v>
      </c>
      <c r="B45" s="305" t="s">
        <v>207</v>
      </c>
      <c r="C45" s="305" t="s">
        <v>208</v>
      </c>
      <c r="D45" s="305" t="s">
        <v>330</v>
      </c>
      <c r="E45" s="305" t="s">
        <v>209</v>
      </c>
      <c r="F45" s="305" t="s">
        <v>210</v>
      </c>
      <c r="G45" s="305" t="s">
        <v>211</v>
      </c>
    </row>
    <row r="46" spans="1:7" ht="12">
      <c r="A46" s="307">
        <v>41153</v>
      </c>
      <c r="B46" s="305" t="s">
        <v>207</v>
      </c>
      <c r="C46" s="305" t="s">
        <v>208</v>
      </c>
      <c r="D46" s="305" t="s">
        <v>323</v>
      </c>
      <c r="E46" s="305" t="s">
        <v>209</v>
      </c>
      <c r="F46" s="305" t="s">
        <v>210</v>
      </c>
      <c r="G46" s="305" t="s">
        <v>212</v>
      </c>
    </row>
  </sheetData>
  <sheetProtection/>
  <mergeCells count="4">
    <mergeCell ref="A4:G4"/>
    <mergeCell ref="A10:G10"/>
    <mergeCell ref="A38:G38"/>
    <mergeCell ref="A44:G44"/>
  </mergeCells>
  <printOptions/>
  <pageMargins left="0.75" right="0.75" top="1" bottom="1" header="0.5" footer="0.5"/>
  <pageSetup fitToHeight="1" fitToWidth="1" orientation="portrait" paperSize="9" scale="85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3366FF"/>
  </sheetPr>
  <dimension ref="A1:Z44"/>
  <sheetViews>
    <sheetView zoomScalePageLayoutView="0" workbookViewId="0" topLeftCell="P1">
      <selection activeCell="X23" sqref="X23"/>
    </sheetView>
  </sheetViews>
  <sheetFormatPr defaultColWidth="11.421875" defaultRowHeight="12.75"/>
  <cols>
    <col min="1" max="1" width="12.28125" style="0" customWidth="1"/>
  </cols>
  <sheetData>
    <row r="1" spans="1:26" ht="15">
      <c r="A1" s="284" t="s">
        <v>213</v>
      </c>
      <c r="B1" s="285">
        <v>41011</v>
      </c>
      <c r="C1" s="285">
        <v>41018</v>
      </c>
      <c r="D1" s="285">
        <v>41025</v>
      </c>
      <c r="E1" s="285">
        <v>41032</v>
      </c>
      <c r="F1" s="285">
        <v>41039</v>
      </c>
      <c r="G1" s="285">
        <v>41046</v>
      </c>
      <c r="H1" s="285">
        <v>41053</v>
      </c>
      <c r="I1" s="285">
        <v>41060</v>
      </c>
      <c r="J1" s="285">
        <v>41036</v>
      </c>
      <c r="K1" s="285">
        <v>41043</v>
      </c>
      <c r="L1" s="285">
        <v>41081</v>
      </c>
      <c r="M1" s="285">
        <v>41088</v>
      </c>
      <c r="N1" s="285">
        <v>41095</v>
      </c>
      <c r="O1" s="285">
        <v>41102</v>
      </c>
      <c r="P1" s="285">
        <v>41109</v>
      </c>
      <c r="Q1" s="285">
        <v>41123</v>
      </c>
      <c r="R1" s="285">
        <v>41130</v>
      </c>
      <c r="S1" s="285">
        <v>41137</v>
      </c>
      <c r="T1" s="285">
        <v>41144</v>
      </c>
      <c r="U1" s="285">
        <v>41151</v>
      </c>
      <c r="V1" s="285">
        <v>41158</v>
      </c>
      <c r="W1" s="285">
        <v>41165</v>
      </c>
      <c r="X1" s="284"/>
      <c r="Y1" s="284"/>
      <c r="Z1" s="284"/>
    </row>
    <row r="2" spans="1:26" ht="15">
      <c r="A2" s="286">
        <v>0.6666666666666666</v>
      </c>
      <c r="B2" s="287" t="s">
        <v>214</v>
      </c>
      <c r="C2" s="287" t="s">
        <v>215</v>
      </c>
      <c r="D2" s="294" t="s">
        <v>233</v>
      </c>
      <c r="E2" s="287" t="s">
        <v>230</v>
      </c>
      <c r="F2" s="287" t="s">
        <v>236</v>
      </c>
      <c r="G2" s="287" t="s">
        <v>250</v>
      </c>
      <c r="H2" s="287" t="s">
        <v>214</v>
      </c>
      <c r="I2" s="287" t="s">
        <v>261</v>
      </c>
      <c r="J2" s="287" t="s">
        <v>264</v>
      </c>
      <c r="K2" s="287" t="s">
        <v>230</v>
      </c>
      <c r="L2" s="287" t="s">
        <v>224</v>
      </c>
      <c r="M2" s="287" t="s">
        <v>229</v>
      </c>
      <c r="N2" s="287" t="s">
        <v>264</v>
      </c>
      <c r="O2" s="287" t="s">
        <v>264</v>
      </c>
      <c r="P2" s="287" t="s">
        <v>228</v>
      </c>
      <c r="Q2" s="287" t="s">
        <v>224</v>
      </c>
      <c r="R2" s="287" t="s">
        <v>240</v>
      </c>
      <c r="S2" s="287" t="s">
        <v>219</v>
      </c>
      <c r="T2" s="287" t="s">
        <v>237</v>
      </c>
      <c r="U2" s="287" t="s">
        <v>220</v>
      </c>
      <c r="V2" s="287" t="s">
        <v>215</v>
      </c>
      <c r="W2" s="287" t="s">
        <v>324</v>
      </c>
      <c r="X2" s="287" t="s">
        <v>215</v>
      </c>
      <c r="Y2" s="287"/>
      <c r="Z2" s="287"/>
    </row>
    <row r="3" spans="1:26" ht="15">
      <c r="A3" s="288"/>
      <c r="B3" s="287" t="s">
        <v>216</v>
      </c>
      <c r="C3" s="287" t="s">
        <v>217</v>
      </c>
      <c r="D3" s="294" t="s">
        <v>219</v>
      </c>
      <c r="E3" s="287" t="s">
        <v>215</v>
      </c>
      <c r="F3" s="287" t="s">
        <v>235</v>
      </c>
      <c r="G3" s="287" t="s">
        <v>219</v>
      </c>
      <c r="H3" s="287" t="s">
        <v>229</v>
      </c>
      <c r="I3" s="287" t="s">
        <v>223</v>
      </c>
      <c r="J3" s="287" t="s">
        <v>229</v>
      </c>
      <c r="K3" s="287" t="s">
        <v>216</v>
      </c>
      <c r="L3" s="287" t="s">
        <v>219</v>
      </c>
      <c r="M3" s="287" t="s">
        <v>264</v>
      </c>
      <c r="N3" s="287" t="s">
        <v>223</v>
      </c>
      <c r="O3" s="287" t="s">
        <v>233</v>
      </c>
      <c r="P3" s="287" t="s">
        <v>215</v>
      </c>
      <c r="Q3" s="287" t="s">
        <v>231</v>
      </c>
      <c r="R3" s="287" t="s">
        <v>230</v>
      </c>
      <c r="S3" s="287" t="s">
        <v>214</v>
      </c>
      <c r="T3" s="287" t="s">
        <v>235</v>
      </c>
      <c r="U3" s="287" t="s">
        <v>219</v>
      </c>
      <c r="V3" s="287" t="s">
        <v>216</v>
      </c>
      <c r="W3" s="287" t="s">
        <v>230</v>
      </c>
      <c r="X3" s="287" t="s">
        <v>219</v>
      </c>
      <c r="Y3" s="287"/>
      <c r="Z3" s="287"/>
    </row>
    <row r="4" spans="1:26" ht="15">
      <c r="A4" s="288"/>
      <c r="B4" s="287" t="s">
        <v>218</v>
      </c>
      <c r="C4" s="287" t="s">
        <v>219</v>
      </c>
      <c r="D4" s="294" t="s">
        <v>229</v>
      </c>
      <c r="E4" s="287" t="s">
        <v>233</v>
      </c>
      <c r="F4" s="287" t="s">
        <v>220</v>
      </c>
      <c r="G4" s="287" t="s">
        <v>214</v>
      </c>
      <c r="H4" s="287" t="s">
        <v>220</v>
      </c>
      <c r="I4" s="287" t="s">
        <v>240</v>
      </c>
      <c r="J4" s="287" t="s">
        <v>261</v>
      </c>
      <c r="K4" s="287" t="s">
        <v>233</v>
      </c>
      <c r="L4" s="287" t="s">
        <v>233</v>
      </c>
      <c r="M4" s="287" t="s">
        <v>237</v>
      </c>
      <c r="N4" s="287" t="s">
        <v>219</v>
      </c>
      <c r="O4" s="287" t="s">
        <v>237</v>
      </c>
      <c r="P4" s="287"/>
      <c r="Q4" s="287" t="s">
        <v>245</v>
      </c>
      <c r="R4" s="287" t="s">
        <v>233</v>
      </c>
      <c r="S4" s="287" t="s">
        <v>217</v>
      </c>
      <c r="T4" s="287" t="s">
        <v>229</v>
      </c>
      <c r="U4" s="287" t="s">
        <v>216</v>
      </c>
      <c r="V4" s="287" t="s">
        <v>224</v>
      </c>
      <c r="W4" s="287" t="s">
        <v>228</v>
      </c>
      <c r="X4" s="287" t="s">
        <v>235</v>
      </c>
      <c r="Y4" s="287"/>
      <c r="Z4" s="287"/>
    </row>
    <row r="5" spans="1:26" ht="15">
      <c r="A5" s="288"/>
      <c r="B5" s="287" t="s">
        <v>220</v>
      </c>
      <c r="C5" s="287"/>
      <c r="D5" s="294" t="s">
        <v>220</v>
      </c>
      <c r="E5" s="287" t="s">
        <v>250</v>
      </c>
      <c r="F5" s="287" t="s">
        <v>224</v>
      </c>
      <c r="G5" s="287" t="s">
        <v>237</v>
      </c>
      <c r="H5" s="287" t="s">
        <v>235</v>
      </c>
      <c r="I5" s="287" t="s">
        <v>241</v>
      </c>
      <c r="J5" s="287" t="s">
        <v>251</v>
      </c>
      <c r="K5" s="287" t="s">
        <v>235</v>
      </c>
      <c r="L5" s="287" t="s">
        <v>236</v>
      </c>
      <c r="M5" s="287" t="s">
        <v>224</v>
      </c>
      <c r="N5" s="287" t="s">
        <v>224</v>
      </c>
      <c r="O5" s="287"/>
      <c r="P5" s="287" t="s">
        <v>231</v>
      </c>
      <c r="Q5" s="287" t="s">
        <v>214</v>
      </c>
      <c r="R5" s="294"/>
      <c r="S5" s="287"/>
      <c r="T5" s="287" t="s">
        <v>233</v>
      </c>
      <c r="U5" s="287"/>
      <c r="V5" s="287" t="s">
        <v>230</v>
      </c>
      <c r="W5" s="287" t="s">
        <v>320</v>
      </c>
      <c r="X5" s="287" t="s">
        <v>338</v>
      </c>
      <c r="Y5" s="287"/>
      <c r="Z5" s="287"/>
    </row>
    <row r="6" spans="1:24" s="290" customFormat="1" ht="15">
      <c r="A6" s="289">
        <v>0.6770833333333334</v>
      </c>
      <c r="B6" s="290" t="s">
        <v>215</v>
      </c>
      <c r="C6" s="290" t="s">
        <v>221</v>
      </c>
      <c r="D6" s="290" t="s">
        <v>215</v>
      </c>
      <c r="E6" s="290" t="s">
        <v>240</v>
      </c>
      <c r="F6" s="290" t="s">
        <v>261</v>
      </c>
      <c r="G6" s="290" t="s">
        <v>264</v>
      </c>
      <c r="H6" s="290" t="s">
        <v>264</v>
      </c>
      <c r="I6" s="290" t="s">
        <v>217</v>
      </c>
      <c r="J6" s="290" t="s">
        <v>240</v>
      </c>
      <c r="K6" s="290" t="s">
        <v>220</v>
      </c>
      <c r="L6" s="290" t="s">
        <v>216</v>
      </c>
      <c r="M6" s="290" t="s">
        <v>236</v>
      </c>
      <c r="N6" s="290" t="s">
        <v>215</v>
      </c>
      <c r="O6" s="290" t="s">
        <v>219</v>
      </c>
      <c r="P6" s="290" t="s">
        <v>224</v>
      </c>
      <c r="Q6" s="290" t="s">
        <v>219</v>
      </c>
      <c r="R6" s="290" t="s">
        <v>229</v>
      </c>
      <c r="S6" s="290" t="s">
        <v>215</v>
      </c>
      <c r="T6" s="290" t="s">
        <v>236</v>
      </c>
      <c r="U6" s="290" t="s">
        <v>237</v>
      </c>
      <c r="V6" s="290" t="s">
        <v>237</v>
      </c>
      <c r="W6" s="290" t="s">
        <v>215</v>
      </c>
      <c r="X6" s="290" t="s">
        <v>228</v>
      </c>
    </row>
    <row r="7" spans="1:24" s="290" customFormat="1" ht="15">
      <c r="A7" s="291"/>
      <c r="B7" s="290" t="s">
        <v>222</v>
      </c>
      <c r="C7" s="290" t="s">
        <v>220</v>
      </c>
      <c r="D7" s="290" t="s">
        <v>214</v>
      </c>
      <c r="E7" s="290" t="s">
        <v>244</v>
      </c>
      <c r="F7" s="290" t="s">
        <v>233</v>
      </c>
      <c r="H7" s="290" t="s">
        <v>215</v>
      </c>
      <c r="I7" s="290" t="s">
        <v>221</v>
      </c>
      <c r="J7" s="290" t="s">
        <v>221</v>
      </c>
      <c r="K7" s="290" t="s">
        <v>229</v>
      </c>
      <c r="L7" s="290" t="s">
        <v>261</v>
      </c>
      <c r="M7" s="290" t="s">
        <v>261</v>
      </c>
      <c r="N7" s="290" t="s">
        <v>235</v>
      </c>
      <c r="O7" s="290" t="s">
        <v>230</v>
      </c>
      <c r="P7" s="290" t="s">
        <v>223</v>
      </c>
      <c r="Q7" s="290" t="s">
        <v>216</v>
      </c>
      <c r="R7" s="290" t="s">
        <v>219</v>
      </c>
      <c r="S7" s="290" t="s">
        <v>235</v>
      </c>
      <c r="T7" s="290" t="s">
        <v>224</v>
      </c>
      <c r="U7" s="290" t="s">
        <v>230</v>
      </c>
      <c r="V7" s="290" t="s">
        <v>233</v>
      </c>
      <c r="W7" s="290" t="s">
        <v>261</v>
      </c>
      <c r="X7" s="290" t="s">
        <v>264</v>
      </c>
    </row>
    <row r="8" spans="1:24" s="290" customFormat="1" ht="15">
      <c r="A8" s="291"/>
      <c r="B8" s="290" t="s">
        <v>223</v>
      </c>
      <c r="C8" s="290" t="s">
        <v>224</v>
      </c>
      <c r="D8" s="290" t="s">
        <v>235</v>
      </c>
      <c r="E8" s="290" t="s">
        <v>217</v>
      </c>
      <c r="F8" s="290" t="s">
        <v>219</v>
      </c>
      <c r="G8" s="290" t="s">
        <v>232</v>
      </c>
      <c r="H8" s="290" t="s">
        <v>223</v>
      </c>
      <c r="I8" s="290" t="s">
        <v>251</v>
      </c>
      <c r="J8" s="290" t="s">
        <v>287</v>
      </c>
      <c r="K8" s="290" t="s">
        <v>264</v>
      </c>
      <c r="L8" s="290" t="s">
        <v>237</v>
      </c>
      <c r="M8" s="290" t="s">
        <v>233</v>
      </c>
      <c r="N8" s="290" t="s">
        <v>233</v>
      </c>
      <c r="O8" s="290" t="s">
        <v>235</v>
      </c>
      <c r="P8" s="290" t="s">
        <v>237</v>
      </c>
      <c r="Q8" s="290" t="s">
        <v>233</v>
      </c>
      <c r="R8" s="290" t="s">
        <v>235</v>
      </c>
      <c r="S8" s="290" t="s">
        <v>240</v>
      </c>
      <c r="T8" s="290" t="s">
        <v>220</v>
      </c>
      <c r="U8" s="290" t="s">
        <v>222</v>
      </c>
      <c r="V8" s="290" t="s">
        <v>220</v>
      </c>
      <c r="W8" s="290" t="s">
        <v>245</v>
      </c>
      <c r="X8" s="290" t="s">
        <v>224</v>
      </c>
    </row>
    <row r="9" spans="1:24" s="290" customFormat="1" ht="15">
      <c r="A9" s="291"/>
      <c r="B9" s="290" t="s">
        <v>161</v>
      </c>
      <c r="C9" s="290" t="s">
        <v>225</v>
      </c>
      <c r="D9" s="290" t="s">
        <v>222</v>
      </c>
      <c r="E9" s="290" t="s">
        <v>251</v>
      </c>
      <c r="F9" s="290" t="s">
        <v>222</v>
      </c>
      <c r="H9" s="290" t="s">
        <v>283</v>
      </c>
      <c r="I9" s="290" t="s">
        <v>250</v>
      </c>
      <c r="J9" s="290" t="s">
        <v>233</v>
      </c>
      <c r="K9" s="290" t="s">
        <v>223</v>
      </c>
      <c r="L9" s="290" t="s">
        <v>235</v>
      </c>
      <c r="M9" s="290" t="s">
        <v>235</v>
      </c>
      <c r="N9" s="290" t="s">
        <v>237</v>
      </c>
      <c r="O9" s="290" t="s">
        <v>224</v>
      </c>
      <c r="Q9" s="290" t="s">
        <v>240</v>
      </c>
      <c r="S9" s="290" t="s">
        <v>233</v>
      </c>
      <c r="U9" s="290" t="s">
        <v>224</v>
      </c>
      <c r="V9" s="290" t="s">
        <v>229</v>
      </c>
      <c r="W9" s="290" t="s">
        <v>240</v>
      </c>
      <c r="X9" s="290" t="s">
        <v>230</v>
      </c>
    </row>
    <row r="10" spans="1:26" ht="15">
      <c r="A10" s="286">
        <v>0.6875</v>
      </c>
      <c r="B10" s="287" t="s">
        <v>226</v>
      </c>
      <c r="C10" s="287" t="s">
        <v>227</v>
      </c>
      <c r="D10" s="287" t="s">
        <v>224</v>
      </c>
      <c r="E10" s="287" t="s">
        <v>241</v>
      </c>
      <c r="F10" s="287" t="s">
        <v>240</v>
      </c>
      <c r="G10" s="287" t="s">
        <v>230</v>
      </c>
      <c r="H10" s="287" t="s">
        <v>224</v>
      </c>
      <c r="I10" s="287" t="s">
        <v>225</v>
      </c>
      <c r="J10" s="287" t="s">
        <v>228</v>
      </c>
      <c r="K10" s="287" t="s">
        <v>226</v>
      </c>
      <c r="L10" s="287" t="s">
        <v>265</v>
      </c>
      <c r="M10" s="287" t="s">
        <v>219</v>
      </c>
      <c r="N10" s="287" t="s">
        <v>226</v>
      </c>
      <c r="O10" s="287" t="s">
        <v>215</v>
      </c>
      <c r="P10" s="287" t="s">
        <v>226</v>
      </c>
      <c r="Q10" s="287" t="s">
        <v>264</v>
      </c>
      <c r="R10" s="287" t="s">
        <v>224</v>
      </c>
      <c r="S10" s="287" t="s">
        <v>230</v>
      </c>
      <c r="T10" s="287" t="s">
        <v>215</v>
      </c>
      <c r="U10" s="287" t="s">
        <v>229</v>
      </c>
      <c r="V10" s="287" t="s">
        <v>235</v>
      </c>
      <c r="W10" s="287" t="s">
        <v>217</v>
      </c>
      <c r="X10" s="287" t="s">
        <v>226</v>
      </c>
      <c r="Y10" s="287"/>
      <c r="Z10" s="287"/>
    </row>
    <row r="11" spans="1:26" ht="15">
      <c r="A11" s="288"/>
      <c r="B11" s="287" t="s">
        <v>228</v>
      </c>
      <c r="C11" s="287" t="s">
        <v>229</v>
      </c>
      <c r="D11" s="287" t="s">
        <v>236</v>
      </c>
      <c r="E11" s="287" t="s">
        <v>228</v>
      </c>
      <c r="F11" s="287" t="s">
        <v>230</v>
      </c>
      <c r="G11" s="287"/>
      <c r="H11" s="287" t="s">
        <v>219</v>
      </c>
      <c r="I11" s="287" t="s">
        <v>215</v>
      </c>
      <c r="J11" s="287" t="s">
        <v>226</v>
      </c>
      <c r="K11" s="287" t="s">
        <v>236</v>
      </c>
      <c r="L11" s="287" t="s">
        <v>240</v>
      </c>
      <c r="M11" s="287" t="s">
        <v>215</v>
      </c>
      <c r="N11" s="287" t="s">
        <v>217</v>
      </c>
      <c r="O11" s="287" t="s">
        <v>226</v>
      </c>
      <c r="P11" s="287" t="s">
        <v>265</v>
      </c>
      <c r="Q11" s="287" t="s">
        <v>215</v>
      </c>
      <c r="R11" s="287" t="s">
        <v>300</v>
      </c>
      <c r="S11" s="287" t="s">
        <v>287</v>
      </c>
      <c r="T11" s="287" t="s">
        <v>226</v>
      </c>
      <c r="U11" s="287" t="s">
        <v>235</v>
      </c>
      <c r="V11" s="287" t="s">
        <v>236</v>
      </c>
      <c r="W11" s="287" t="s">
        <v>244</v>
      </c>
      <c r="X11" s="287" t="s">
        <v>223</v>
      </c>
      <c r="Y11" s="287"/>
      <c r="Z11" s="287"/>
    </row>
    <row r="12" spans="1:26" ht="15">
      <c r="A12" s="288"/>
      <c r="B12" s="287" t="s">
        <v>224</v>
      </c>
      <c r="C12" s="287" t="s">
        <v>230</v>
      </c>
      <c r="D12" s="287" t="s">
        <v>237</v>
      </c>
      <c r="E12" s="287" t="s">
        <v>261</v>
      </c>
      <c r="F12" s="287" t="s">
        <v>264</v>
      </c>
      <c r="G12" s="287" t="s">
        <v>228</v>
      </c>
      <c r="H12" s="287" t="s">
        <v>236</v>
      </c>
      <c r="I12" s="287" t="s">
        <v>248</v>
      </c>
      <c r="J12" s="287" t="s">
        <v>284</v>
      </c>
      <c r="K12" s="287" t="s">
        <v>261</v>
      </c>
      <c r="L12" s="287" t="s">
        <v>290</v>
      </c>
      <c r="M12" s="287" t="s">
        <v>216</v>
      </c>
      <c r="N12" s="287" t="s">
        <v>229</v>
      </c>
      <c r="O12" s="287" t="s">
        <v>290</v>
      </c>
      <c r="P12" s="287" t="s">
        <v>214</v>
      </c>
      <c r="Q12" s="287" t="s">
        <v>236</v>
      </c>
      <c r="R12" s="287" t="s">
        <v>223</v>
      </c>
      <c r="S12" s="287" t="s">
        <v>229</v>
      </c>
      <c r="T12" s="287" t="s">
        <v>219</v>
      </c>
      <c r="U12" s="287" t="s">
        <v>214</v>
      </c>
      <c r="V12" s="287" t="s">
        <v>219</v>
      </c>
      <c r="W12" s="287" t="s">
        <v>264</v>
      </c>
      <c r="X12" s="287" t="s">
        <v>265</v>
      </c>
      <c r="Y12" s="287"/>
      <c r="Z12" s="287"/>
    </row>
    <row r="13" spans="1:26" ht="15">
      <c r="A13" s="288"/>
      <c r="B13" s="287" t="s">
        <v>217</v>
      </c>
      <c r="C13" s="287" t="s">
        <v>231</v>
      </c>
      <c r="D13" s="287" t="s">
        <v>223</v>
      </c>
      <c r="E13" s="287" t="s">
        <v>263</v>
      </c>
      <c r="F13" s="287" t="s">
        <v>267</v>
      </c>
      <c r="G13" s="287" t="s">
        <v>231</v>
      </c>
      <c r="H13" s="287" t="s">
        <v>222</v>
      </c>
      <c r="I13" s="287" t="s">
        <v>229</v>
      </c>
      <c r="J13" s="287" t="s">
        <v>265</v>
      </c>
      <c r="K13" s="287"/>
      <c r="L13" s="287"/>
      <c r="M13" s="287" t="s">
        <v>220</v>
      </c>
      <c r="N13" s="287" t="s">
        <v>290</v>
      </c>
      <c r="O13" s="287"/>
      <c r="P13" s="287" t="s">
        <v>265</v>
      </c>
      <c r="Q13" s="287" t="s">
        <v>237</v>
      </c>
      <c r="R13" s="287" t="s">
        <v>215</v>
      </c>
      <c r="S13" s="287"/>
      <c r="T13" s="287" t="s">
        <v>223</v>
      </c>
      <c r="U13" s="287" t="s">
        <v>264</v>
      </c>
      <c r="V13" s="287"/>
      <c r="W13" s="287" t="s">
        <v>235</v>
      </c>
      <c r="X13" s="287" t="s">
        <v>237</v>
      </c>
      <c r="Y13" s="287"/>
      <c r="Z13" s="287"/>
    </row>
    <row r="14" spans="1:23" s="290" customFormat="1" ht="15">
      <c r="A14" s="289">
        <v>0.6979166666666666</v>
      </c>
      <c r="B14" s="290" t="s">
        <v>231</v>
      </c>
      <c r="D14" s="290" t="s">
        <v>231</v>
      </c>
      <c r="E14" s="290" t="s">
        <v>259</v>
      </c>
      <c r="F14" s="290" t="s">
        <v>215</v>
      </c>
      <c r="H14" s="290" t="s">
        <v>233</v>
      </c>
      <c r="I14" s="290" t="s">
        <v>228</v>
      </c>
      <c r="J14" s="290" t="s">
        <v>286</v>
      </c>
      <c r="K14" s="290" t="s">
        <v>244</v>
      </c>
      <c r="L14" s="290" t="s">
        <v>226</v>
      </c>
      <c r="M14" s="290" t="s">
        <v>228</v>
      </c>
      <c r="N14" s="290" t="s">
        <v>240</v>
      </c>
      <c r="O14" s="290" t="s">
        <v>231</v>
      </c>
      <c r="R14" s="290" t="s">
        <v>261</v>
      </c>
      <c r="S14" s="290" t="s">
        <v>228</v>
      </c>
      <c r="T14" s="290" t="s">
        <v>228</v>
      </c>
      <c r="U14" s="290" t="s">
        <v>215</v>
      </c>
      <c r="V14" s="290" t="s">
        <v>264</v>
      </c>
      <c r="W14" s="290" t="s">
        <v>224</v>
      </c>
    </row>
    <row r="15" spans="1:23" s="290" customFormat="1" ht="15">
      <c r="A15" s="291"/>
      <c r="B15" s="290" t="s">
        <v>229</v>
      </c>
      <c r="D15" s="290" t="s">
        <v>230</v>
      </c>
      <c r="E15" s="290" t="s">
        <v>260</v>
      </c>
      <c r="F15" s="290" t="s">
        <v>228</v>
      </c>
      <c r="H15" s="290" t="s">
        <v>265</v>
      </c>
      <c r="I15" s="290" t="s">
        <v>230</v>
      </c>
      <c r="J15" s="290" t="s">
        <v>231</v>
      </c>
      <c r="K15" s="290" t="s">
        <v>240</v>
      </c>
      <c r="L15" s="290" t="s">
        <v>231</v>
      </c>
      <c r="M15" s="290" t="s">
        <v>226</v>
      </c>
      <c r="N15" s="290" t="s">
        <v>225</v>
      </c>
      <c r="O15" s="290" t="s">
        <v>228</v>
      </c>
      <c r="R15" s="290" t="s">
        <v>226</v>
      </c>
      <c r="S15" s="290" t="s">
        <v>223</v>
      </c>
      <c r="T15" s="290" t="s">
        <v>265</v>
      </c>
      <c r="U15" s="290" t="s">
        <v>217</v>
      </c>
      <c r="V15" s="290" t="s">
        <v>261</v>
      </c>
      <c r="W15" s="290" t="s">
        <v>229</v>
      </c>
    </row>
    <row r="16" spans="1:23" s="290" customFormat="1" ht="15">
      <c r="A16" s="291"/>
      <c r="B16" s="290" t="s">
        <v>232</v>
      </c>
      <c r="D16" s="290" t="s">
        <v>225</v>
      </c>
      <c r="E16" s="290" t="s">
        <v>225</v>
      </c>
      <c r="F16" s="290" t="s">
        <v>229</v>
      </c>
      <c r="H16" s="290" t="s">
        <v>231</v>
      </c>
      <c r="I16" s="290" t="s">
        <v>284</v>
      </c>
      <c r="J16" s="290" t="s">
        <v>223</v>
      </c>
      <c r="K16" s="290" t="s">
        <v>224</v>
      </c>
      <c r="L16" s="290" t="s">
        <v>230</v>
      </c>
      <c r="M16" s="290" t="s">
        <v>265</v>
      </c>
      <c r="N16" s="290" t="s">
        <v>228</v>
      </c>
      <c r="O16" s="290" t="s">
        <v>265</v>
      </c>
      <c r="R16" s="290" t="s">
        <v>236</v>
      </c>
      <c r="S16" s="290" t="s">
        <v>237</v>
      </c>
      <c r="T16" s="290" t="s">
        <v>216</v>
      </c>
      <c r="U16" s="290" t="s">
        <v>226</v>
      </c>
      <c r="V16" s="290" t="s">
        <v>313</v>
      </c>
      <c r="W16" s="290" t="s">
        <v>233</v>
      </c>
    </row>
    <row r="17" spans="1:22" s="290" customFormat="1" ht="15">
      <c r="A17" s="291"/>
      <c r="B17" s="290" t="s">
        <v>227</v>
      </c>
      <c r="D17" s="290" t="s">
        <v>240</v>
      </c>
      <c r="F17" s="290" t="s">
        <v>237</v>
      </c>
      <c r="H17" s="290" t="s">
        <v>230</v>
      </c>
      <c r="J17" s="290" t="s">
        <v>244</v>
      </c>
      <c r="V17" s="290" t="s">
        <v>228</v>
      </c>
    </row>
    <row r="18" spans="1:26" ht="15">
      <c r="A18" s="286">
        <v>0.7083333333333334</v>
      </c>
      <c r="B18" s="287"/>
      <c r="C18" s="287"/>
      <c r="D18" s="287"/>
      <c r="E18" s="287"/>
      <c r="F18" s="287" t="s">
        <v>232</v>
      </c>
      <c r="G18" s="287"/>
      <c r="H18" s="287" t="s">
        <v>226</v>
      </c>
      <c r="I18" s="287" t="s">
        <v>226</v>
      </c>
      <c r="J18" s="287"/>
      <c r="K18" s="287" t="s">
        <v>215</v>
      </c>
      <c r="L18" s="287" t="s">
        <v>214</v>
      </c>
      <c r="M18" s="287" t="s">
        <v>232</v>
      </c>
      <c r="N18" s="287"/>
      <c r="O18" s="287"/>
      <c r="P18" s="287"/>
      <c r="Q18" s="287"/>
      <c r="R18" s="287"/>
      <c r="S18" s="287"/>
      <c r="T18" s="287"/>
      <c r="U18" s="287" t="s">
        <v>223</v>
      </c>
      <c r="V18" s="287"/>
      <c r="W18" s="336" t="s">
        <v>220</v>
      </c>
      <c r="X18" s="287"/>
      <c r="Y18" s="287"/>
      <c r="Z18" s="287"/>
    </row>
    <row r="19" spans="1:26" ht="15">
      <c r="A19" s="288"/>
      <c r="B19" s="287"/>
      <c r="C19" s="287"/>
      <c r="D19" s="287"/>
      <c r="E19" s="287"/>
      <c r="F19" s="287" t="s">
        <v>226</v>
      </c>
      <c r="G19" s="287"/>
      <c r="H19" s="287" t="s">
        <v>216</v>
      </c>
      <c r="I19" s="287" t="s">
        <v>244</v>
      </c>
      <c r="J19" s="287"/>
      <c r="K19" s="287" t="s">
        <v>232</v>
      </c>
      <c r="L19" s="287" t="s">
        <v>264</v>
      </c>
      <c r="M19" s="287" t="s">
        <v>223</v>
      </c>
      <c r="N19" s="287"/>
      <c r="O19" s="287"/>
      <c r="P19" s="287"/>
      <c r="Q19" s="287"/>
      <c r="R19" s="287"/>
      <c r="S19" s="287"/>
      <c r="T19" s="287"/>
      <c r="U19" s="287" t="s">
        <v>265</v>
      </c>
      <c r="V19" s="287"/>
      <c r="W19" s="336" t="s">
        <v>223</v>
      </c>
      <c r="X19" s="287"/>
      <c r="Y19" s="287"/>
      <c r="Z19" s="287"/>
    </row>
    <row r="20" spans="1:26" ht="15">
      <c r="A20" s="288"/>
      <c r="B20" s="287"/>
      <c r="C20" s="287"/>
      <c r="D20" s="287"/>
      <c r="E20" s="287"/>
      <c r="F20" s="287" t="s">
        <v>265</v>
      </c>
      <c r="G20" s="287"/>
      <c r="H20" s="287" t="s">
        <v>228</v>
      </c>
      <c r="I20" s="287" t="s">
        <v>264</v>
      </c>
      <c r="J20" s="287"/>
      <c r="K20" s="287" t="s">
        <v>228</v>
      </c>
      <c r="L20" s="287" t="s">
        <v>228</v>
      </c>
      <c r="M20" s="287" t="s">
        <v>230</v>
      </c>
      <c r="N20" s="287"/>
      <c r="O20" s="287"/>
      <c r="P20" s="287"/>
      <c r="Q20" s="287"/>
      <c r="R20" s="287"/>
      <c r="S20" s="287"/>
      <c r="T20" s="287"/>
      <c r="U20" s="287" t="s">
        <v>240</v>
      </c>
      <c r="V20" s="287"/>
      <c r="W20" s="336" t="s">
        <v>265</v>
      </c>
      <c r="X20" s="287"/>
      <c r="Y20" s="287"/>
      <c r="Z20" s="287"/>
    </row>
    <row r="21" spans="1:26" ht="15">
      <c r="A21" s="288"/>
      <c r="B21" s="287"/>
      <c r="C21" s="287"/>
      <c r="D21" s="287"/>
      <c r="E21" s="287"/>
      <c r="F21" s="287" t="s">
        <v>214</v>
      </c>
      <c r="G21" s="287"/>
      <c r="H21" s="287" t="s">
        <v>240</v>
      </c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</row>
    <row r="22" spans="1:26" s="290" customFormat="1" ht="15">
      <c r="A22" s="291"/>
      <c r="B22" s="321">
        <v>16</v>
      </c>
      <c r="C22" s="321">
        <v>14</v>
      </c>
      <c r="D22" s="321">
        <v>16</v>
      </c>
      <c r="E22" s="321">
        <v>14</v>
      </c>
      <c r="F22" s="321">
        <v>20</v>
      </c>
      <c r="G22" s="321">
        <v>10</v>
      </c>
      <c r="H22" s="321">
        <v>20</v>
      </c>
      <c r="I22" s="321"/>
      <c r="J22" s="321">
        <v>16</v>
      </c>
      <c r="K22" s="321"/>
      <c r="L22" s="321">
        <v>17</v>
      </c>
      <c r="M22" s="321">
        <v>18</v>
      </c>
      <c r="N22" s="321">
        <v>15</v>
      </c>
      <c r="O22" s="321">
        <v>13</v>
      </c>
      <c r="P22" s="321"/>
      <c r="Q22" s="321">
        <v>12</v>
      </c>
      <c r="R22" s="321">
        <v>13</v>
      </c>
      <c r="S22" s="321"/>
      <c r="T22" s="321"/>
      <c r="U22" s="321"/>
      <c r="V22" s="321"/>
      <c r="X22" s="321">
        <v>12</v>
      </c>
      <c r="Y22" s="321"/>
      <c r="Z22" s="321"/>
    </row>
    <row r="23" spans="1:14" s="290" customFormat="1" ht="15">
      <c r="A23" s="291"/>
      <c r="C23" s="290" t="s">
        <v>262</v>
      </c>
      <c r="N23" s="322" t="s">
        <v>291</v>
      </c>
    </row>
    <row r="24" spans="1:3" s="290" customFormat="1" ht="15">
      <c r="A24" s="291"/>
      <c r="C24" s="290" t="s">
        <v>223</v>
      </c>
    </row>
    <row r="25" spans="1:3" s="290" customFormat="1" ht="15">
      <c r="A25" s="291"/>
      <c r="C25" s="290" t="s">
        <v>233</v>
      </c>
    </row>
    <row r="26" s="290" customFormat="1" ht="12"/>
    <row r="27" s="290" customFormat="1" ht="12"/>
    <row r="28" s="290" customFormat="1" ht="12"/>
    <row r="29" s="290" customFormat="1" ht="12"/>
    <row r="30" ht="12">
      <c r="I30" s="290"/>
    </row>
    <row r="31" ht="12">
      <c r="I31" s="290"/>
    </row>
    <row r="32" ht="12">
      <c r="I32" s="290"/>
    </row>
    <row r="33" ht="12">
      <c r="I33" s="290"/>
    </row>
    <row r="34" ht="12">
      <c r="I34" s="290"/>
    </row>
    <row r="35" ht="12">
      <c r="I35" s="290"/>
    </row>
    <row r="36" ht="12">
      <c r="I36" s="290"/>
    </row>
    <row r="37" ht="12">
      <c r="I37" s="290"/>
    </row>
    <row r="38" ht="12">
      <c r="I38" s="290"/>
    </row>
    <row r="39" ht="12">
      <c r="I39" s="290"/>
    </row>
    <row r="40" ht="12">
      <c r="I40" s="290"/>
    </row>
    <row r="41" ht="12">
      <c r="I41" s="290"/>
    </row>
    <row r="42" ht="12">
      <c r="I42" s="290"/>
    </row>
    <row r="43" ht="12">
      <c r="I43" s="290"/>
    </row>
    <row r="44" ht="12">
      <c r="I44" s="290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31"/>
  <sheetViews>
    <sheetView zoomScale="90" zoomScaleNormal="90" zoomScalePageLayoutView="0" workbookViewId="0" topLeftCell="B1">
      <selection activeCell="B3" sqref="A3:IV26"/>
    </sheetView>
  </sheetViews>
  <sheetFormatPr defaultColWidth="9.140625" defaultRowHeight="12.75"/>
  <cols>
    <col min="1" max="1" width="4.00390625" style="22" hidden="1" customWidth="1"/>
    <col min="2" max="2" width="25.00390625" style="22" customWidth="1"/>
    <col min="3" max="3" width="15.140625" style="38" customWidth="1"/>
    <col min="4" max="15" width="3.8515625" style="38" customWidth="1"/>
    <col min="16" max="35" width="3.28125" style="29" customWidth="1"/>
    <col min="36" max="37" width="4.7109375" style="22" customWidth="1"/>
    <col min="38" max="38" width="6.00390625" style="22" customWidth="1"/>
    <col min="39" max="40" width="4.7109375" style="22" customWidth="1"/>
    <col min="41" max="41" width="4.7109375" style="181" customWidth="1"/>
    <col min="42" max="42" width="4.7109375" style="22" customWidth="1"/>
    <col min="43" max="44" width="9.140625" style="22" customWidth="1"/>
    <col min="45" max="45" width="10.421875" style="22" customWidth="1"/>
    <col min="46" max="16384" width="9.140625" style="22" customWidth="1"/>
  </cols>
  <sheetData>
    <row r="1" spans="3:35" ht="21.75" customHeight="1">
      <c r="C1" s="34" t="s">
        <v>53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2:41" s="23" customFormat="1" ht="68.25" customHeight="1">
      <c r="B2" s="24"/>
      <c r="C2" s="36" t="s">
        <v>29</v>
      </c>
      <c r="D2" s="144" t="s">
        <v>67</v>
      </c>
      <c r="E2" s="347" t="s">
        <v>160</v>
      </c>
      <c r="F2" s="144" t="s">
        <v>159</v>
      </c>
      <c r="G2" s="231">
        <v>41165</v>
      </c>
      <c r="H2" s="231">
        <v>41158</v>
      </c>
      <c r="I2" s="231">
        <v>41153</v>
      </c>
      <c r="J2" s="231">
        <v>41153</v>
      </c>
      <c r="K2" s="231">
        <v>41151</v>
      </c>
      <c r="L2" s="231">
        <v>41144</v>
      </c>
      <c r="M2" s="231">
        <v>41137</v>
      </c>
      <c r="N2" s="231">
        <v>41130</v>
      </c>
      <c r="O2" s="231">
        <v>41123</v>
      </c>
      <c r="P2" s="231">
        <v>41116</v>
      </c>
      <c r="Q2" s="231">
        <v>41109</v>
      </c>
      <c r="R2" s="233">
        <v>41102</v>
      </c>
      <c r="S2" s="233">
        <v>41095</v>
      </c>
      <c r="T2" s="233">
        <v>41088</v>
      </c>
      <c r="U2" s="231">
        <v>41081</v>
      </c>
      <c r="V2" s="231">
        <v>41074</v>
      </c>
      <c r="W2" s="231">
        <v>41067</v>
      </c>
      <c r="X2" s="231">
        <v>41060</v>
      </c>
      <c r="Y2" s="235">
        <v>41053</v>
      </c>
      <c r="Z2" s="235">
        <v>41046</v>
      </c>
      <c r="AA2" s="231">
        <v>41041</v>
      </c>
      <c r="AB2" s="303">
        <v>41041</v>
      </c>
      <c r="AC2" s="235">
        <v>41039</v>
      </c>
      <c r="AD2" s="231">
        <v>41032</v>
      </c>
      <c r="AE2" s="231">
        <v>41025</v>
      </c>
      <c r="AF2" s="236">
        <v>41018</v>
      </c>
      <c r="AG2" s="231">
        <v>41011</v>
      </c>
      <c r="AH2" s="231">
        <v>41004</v>
      </c>
      <c r="AI2" s="231">
        <v>40997</v>
      </c>
      <c r="AJ2" s="25" t="s">
        <v>63</v>
      </c>
      <c r="AK2" s="25" t="s">
        <v>30</v>
      </c>
      <c r="AL2" s="25" t="s">
        <v>31</v>
      </c>
      <c r="AM2" s="25" t="s">
        <v>32</v>
      </c>
      <c r="AO2" s="182"/>
    </row>
    <row r="3" spans="2:41" ht="15">
      <c r="B3" s="120" t="s">
        <v>253</v>
      </c>
      <c r="C3" s="62">
        <f aca="true" t="shared" si="0" ref="C3:C26">(SUM(D3:AI3)+AK3*37)/AL3</f>
        <v>30.27777777777778</v>
      </c>
      <c r="D3" s="162">
        <v>30</v>
      </c>
      <c r="E3" s="162">
        <v>29</v>
      </c>
      <c r="F3" s="323" t="s">
        <v>305</v>
      </c>
      <c r="G3" s="162">
        <v>29</v>
      </c>
      <c r="H3" s="323" t="s">
        <v>315</v>
      </c>
      <c r="I3" s="162">
        <v>35</v>
      </c>
      <c r="J3" s="324"/>
      <c r="K3" s="162"/>
      <c r="L3" s="162">
        <v>28</v>
      </c>
      <c r="M3" s="348" t="s">
        <v>331</v>
      </c>
      <c r="N3" s="162"/>
      <c r="O3" s="324"/>
      <c r="P3" s="162"/>
      <c r="Q3" s="323" t="s">
        <v>305</v>
      </c>
      <c r="R3" s="162">
        <v>26</v>
      </c>
      <c r="S3" s="162">
        <v>31</v>
      </c>
      <c r="T3" s="162">
        <v>33</v>
      </c>
      <c r="U3" s="162">
        <v>28</v>
      </c>
      <c r="V3" s="162">
        <v>28</v>
      </c>
      <c r="W3" s="162">
        <v>29</v>
      </c>
      <c r="X3" s="162">
        <v>28</v>
      </c>
      <c r="Y3" s="162">
        <v>32</v>
      </c>
      <c r="Z3" s="162">
        <v>32</v>
      </c>
      <c r="AA3" s="162">
        <v>33</v>
      </c>
      <c r="AB3" s="346" t="s">
        <v>331</v>
      </c>
      <c r="AC3" s="162">
        <v>32</v>
      </c>
      <c r="AD3" s="162">
        <v>32</v>
      </c>
      <c r="AE3" s="162"/>
      <c r="AF3" s="162"/>
      <c r="AG3" s="162">
        <v>30</v>
      </c>
      <c r="AH3" s="323" t="s">
        <v>331</v>
      </c>
      <c r="AI3" s="162"/>
      <c r="AJ3" s="164">
        <f aca="true" t="shared" si="1" ref="AJ3:AJ26">COUNTIF(D3:AI3,"&gt;0")</f>
        <v>18</v>
      </c>
      <c r="AK3" s="165">
        <f aca="true" t="shared" si="2" ref="AK3:AK26">IF(AJ3&lt;19,18-AJ3,0)</f>
        <v>0</v>
      </c>
      <c r="AL3" s="165">
        <f aca="true" t="shared" si="3" ref="AL3:AL26">SUM(AJ3:AK3)</f>
        <v>18</v>
      </c>
      <c r="AM3" s="165">
        <f aca="true" t="shared" si="4" ref="AM3:AM26">LARGE(D3:AI3,1)</f>
        <v>35</v>
      </c>
      <c r="AO3" s="181" t="str">
        <f aca="true" t="shared" si="5" ref="AO3:AO26">IF(AJ3&gt;18,"OBS"," ")</f>
        <v> </v>
      </c>
    </row>
    <row r="4" spans="2:41" s="26" customFormat="1" ht="15">
      <c r="B4" s="120" t="s">
        <v>244</v>
      </c>
      <c r="C4" s="62">
        <f t="shared" si="0"/>
        <v>30.72222222222222</v>
      </c>
      <c r="D4" s="163">
        <v>32</v>
      </c>
      <c r="E4" s="163">
        <v>33</v>
      </c>
      <c r="F4" s="163">
        <v>34</v>
      </c>
      <c r="G4" s="162">
        <v>29</v>
      </c>
      <c r="H4" s="162">
        <v>33</v>
      </c>
      <c r="I4" s="346" t="s">
        <v>331</v>
      </c>
      <c r="J4" s="324"/>
      <c r="K4" s="162">
        <v>29</v>
      </c>
      <c r="L4" s="163">
        <v>30</v>
      </c>
      <c r="M4" s="348" t="s">
        <v>347</v>
      </c>
      <c r="N4" s="162"/>
      <c r="O4" s="324"/>
      <c r="P4" s="323" t="s">
        <v>331</v>
      </c>
      <c r="Q4" s="162">
        <v>29</v>
      </c>
      <c r="R4" s="162">
        <v>32</v>
      </c>
      <c r="S4" s="162">
        <v>30</v>
      </c>
      <c r="T4" s="209">
        <v>26</v>
      </c>
      <c r="U4" s="162">
        <v>31</v>
      </c>
      <c r="V4" s="162">
        <v>29</v>
      </c>
      <c r="W4" s="162">
        <v>32</v>
      </c>
      <c r="X4" s="162">
        <v>28</v>
      </c>
      <c r="Y4" s="323" t="s">
        <v>322</v>
      </c>
      <c r="Z4" s="163">
        <v>31</v>
      </c>
      <c r="AA4" s="323" t="s">
        <v>315</v>
      </c>
      <c r="AB4" s="323" t="s">
        <v>305</v>
      </c>
      <c r="AC4" s="163">
        <v>33</v>
      </c>
      <c r="AD4" s="162">
        <v>32</v>
      </c>
      <c r="AE4" s="323" t="s">
        <v>322</v>
      </c>
      <c r="AF4" s="162"/>
      <c r="AG4" s="162"/>
      <c r="AH4" s="162"/>
      <c r="AI4" s="323" t="s">
        <v>295</v>
      </c>
      <c r="AJ4" s="164">
        <f t="shared" si="1"/>
        <v>18</v>
      </c>
      <c r="AK4" s="165">
        <f t="shared" si="2"/>
        <v>0</v>
      </c>
      <c r="AL4" s="165">
        <f t="shared" si="3"/>
        <v>18</v>
      </c>
      <c r="AM4" s="165">
        <f t="shared" si="4"/>
        <v>34</v>
      </c>
      <c r="AN4" s="22"/>
      <c r="AO4" s="181" t="str">
        <f t="shared" si="5"/>
        <v> </v>
      </c>
    </row>
    <row r="5" spans="2:41" ht="15">
      <c r="B5" s="120" t="s">
        <v>243</v>
      </c>
      <c r="C5" s="62">
        <f t="shared" si="0"/>
        <v>31.666666666666668</v>
      </c>
      <c r="D5" s="162"/>
      <c r="E5" s="162"/>
      <c r="F5" s="162">
        <v>34</v>
      </c>
      <c r="G5" s="323" t="s">
        <v>303</v>
      </c>
      <c r="H5" s="162">
        <v>30</v>
      </c>
      <c r="I5" s="162"/>
      <c r="J5" s="324"/>
      <c r="K5" s="162">
        <v>31</v>
      </c>
      <c r="L5" s="162">
        <v>38</v>
      </c>
      <c r="M5" s="162">
        <v>30</v>
      </c>
      <c r="N5" s="162">
        <v>32</v>
      </c>
      <c r="O5" s="324"/>
      <c r="P5" s="162"/>
      <c r="Q5" s="162">
        <v>30</v>
      </c>
      <c r="R5" s="162">
        <v>30</v>
      </c>
      <c r="S5" s="162">
        <v>28</v>
      </c>
      <c r="T5" s="323" t="s">
        <v>305</v>
      </c>
      <c r="U5" s="162"/>
      <c r="V5" s="162">
        <v>32</v>
      </c>
      <c r="W5" s="162"/>
      <c r="X5" s="162">
        <v>30</v>
      </c>
      <c r="Y5" s="162">
        <v>37</v>
      </c>
      <c r="Z5" s="162"/>
      <c r="AA5" s="162">
        <v>33</v>
      </c>
      <c r="AB5" s="323" t="s">
        <v>305</v>
      </c>
      <c r="AC5" s="162">
        <v>30</v>
      </c>
      <c r="AD5" s="323" t="s">
        <v>305</v>
      </c>
      <c r="AE5" s="162">
        <v>33</v>
      </c>
      <c r="AF5" s="162">
        <v>31</v>
      </c>
      <c r="AG5" s="162">
        <v>29</v>
      </c>
      <c r="AH5" s="162">
        <v>32</v>
      </c>
      <c r="AI5" s="323" t="s">
        <v>305</v>
      </c>
      <c r="AJ5" s="164">
        <f t="shared" si="1"/>
        <v>18</v>
      </c>
      <c r="AK5" s="165">
        <f t="shared" si="2"/>
        <v>0</v>
      </c>
      <c r="AL5" s="165">
        <f t="shared" si="3"/>
        <v>18</v>
      </c>
      <c r="AM5" s="165">
        <f t="shared" si="4"/>
        <v>38</v>
      </c>
      <c r="AN5" s="27"/>
      <c r="AO5" s="181" t="str">
        <f t="shared" si="5"/>
        <v> </v>
      </c>
    </row>
    <row r="6" spans="1:42" s="27" customFormat="1" ht="15">
      <c r="A6" s="22"/>
      <c r="B6" s="120" t="s">
        <v>230</v>
      </c>
      <c r="C6" s="62">
        <f t="shared" si="0"/>
        <v>32.333333333333336</v>
      </c>
      <c r="D6" s="162">
        <v>35</v>
      </c>
      <c r="E6" s="162">
        <v>35</v>
      </c>
      <c r="F6" s="162"/>
      <c r="G6" s="162">
        <v>35</v>
      </c>
      <c r="H6" s="162"/>
      <c r="I6" s="162">
        <v>34</v>
      </c>
      <c r="J6" s="324"/>
      <c r="K6" s="162"/>
      <c r="L6" s="162"/>
      <c r="M6" s="162">
        <v>34</v>
      </c>
      <c r="N6" s="162">
        <v>28</v>
      </c>
      <c r="O6" s="324"/>
      <c r="P6" s="162">
        <v>28</v>
      </c>
      <c r="Q6" s="162"/>
      <c r="R6" s="162"/>
      <c r="S6" s="162"/>
      <c r="T6" s="348" t="s">
        <v>315</v>
      </c>
      <c r="U6" s="162">
        <v>27</v>
      </c>
      <c r="V6" s="162">
        <v>33</v>
      </c>
      <c r="W6" s="162">
        <v>27</v>
      </c>
      <c r="X6" s="346" t="s">
        <v>305</v>
      </c>
      <c r="Y6" s="162">
        <v>32</v>
      </c>
      <c r="Z6" s="162">
        <v>31</v>
      </c>
      <c r="AA6" s="162">
        <v>34</v>
      </c>
      <c r="AB6" s="323" t="s">
        <v>303</v>
      </c>
      <c r="AC6" s="162">
        <v>36</v>
      </c>
      <c r="AD6" s="162">
        <v>34</v>
      </c>
      <c r="AE6" s="323" t="s">
        <v>295</v>
      </c>
      <c r="AF6" s="162">
        <v>34</v>
      </c>
      <c r="AG6" s="162"/>
      <c r="AH6" s="162">
        <v>30</v>
      </c>
      <c r="AI6" s="162">
        <v>35</v>
      </c>
      <c r="AJ6" s="164">
        <f t="shared" si="1"/>
        <v>18</v>
      </c>
      <c r="AK6" s="165">
        <f t="shared" si="2"/>
        <v>0</v>
      </c>
      <c r="AL6" s="165">
        <f t="shared" si="3"/>
        <v>18</v>
      </c>
      <c r="AM6" s="165">
        <f t="shared" si="4"/>
        <v>36</v>
      </c>
      <c r="AN6" s="22"/>
      <c r="AO6" s="181" t="str">
        <f t="shared" si="5"/>
        <v> </v>
      </c>
      <c r="AP6" s="22"/>
    </row>
    <row r="7" spans="1:42" s="27" customFormat="1" ht="15">
      <c r="A7" s="22"/>
      <c r="B7" s="120" t="s">
        <v>241</v>
      </c>
      <c r="C7" s="62">
        <f t="shared" si="0"/>
        <v>32.44444444444444</v>
      </c>
      <c r="D7" s="162">
        <v>35</v>
      </c>
      <c r="E7" s="162">
        <v>33</v>
      </c>
      <c r="F7" s="162">
        <v>32</v>
      </c>
      <c r="G7" s="323" t="s">
        <v>305</v>
      </c>
      <c r="H7" s="162">
        <v>32</v>
      </c>
      <c r="I7" s="162">
        <v>33</v>
      </c>
      <c r="J7" s="324"/>
      <c r="K7" s="162">
        <v>32</v>
      </c>
      <c r="L7" s="162">
        <v>31</v>
      </c>
      <c r="M7" s="346" t="s">
        <v>322</v>
      </c>
      <c r="N7" s="162">
        <v>34</v>
      </c>
      <c r="O7" s="324"/>
      <c r="P7" s="162"/>
      <c r="Q7" s="162"/>
      <c r="R7" s="162"/>
      <c r="S7" s="162">
        <v>29</v>
      </c>
      <c r="T7" s="348" t="s">
        <v>322</v>
      </c>
      <c r="U7" s="162">
        <v>33</v>
      </c>
      <c r="V7" s="162">
        <v>30</v>
      </c>
      <c r="W7" s="162">
        <v>33</v>
      </c>
      <c r="X7" s="162">
        <v>34</v>
      </c>
      <c r="Y7" s="323" t="s">
        <v>301</v>
      </c>
      <c r="Z7" s="323" t="s">
        <v>303</v>
      </c>
      <c r="AA7" s="323" t="s">
        <v>306</v>
      </c>
      <c r="AB7" s="323" t="s">
        <v>305</v>
      </c>
      <c r="AC7" s="162">
        <v>33</v>
      </c>
      <c r="AD7" s="162">
        <v>34</v>
      </c>
      <c r="AE7" s="162">
        <v>31</v>
      </c>
      <c r="AF7" s="162">
        <v>33</v>
      </c>
      <c r="AG7" s="162">
        <v>32</v>
      </c>
      <c r="AH7" s="162"/>
      <c r="AI7" s="323" t="s">
        <v>305</v>
      </c>
      <c r="AJ7" s="164">
        <f t="shared" si="1"/>
        <v>18</v>
      </c>
      <c r="AK7" s="165">
        <f t="shared" si="2"/>
        <v>0</v>
      </c>
      <c r="AL7" s="165">
        <f t="shared" si="3"/>
        <v>18</v>
      </c>
      <c r="AM7" s="165">
        <f t="shared" si="4"/>
        <v>35</v>
      </c>
      <c r="AO7" s="181" t="str">
        <f t="shared" si="5"/>
        <v> </v>
      </c>
      <c r="AP7" s="22"/>
    </row>
    <row r="8" spans="2:41" ht="15">
      <c r="B8" s="120" t="s">
        <v>250</v>
      </c>
      <c r="C8" s="62">
        <f t="shared" si="0"/>
        <v>32.55555555555556</v>
      </c>
      <c r="D8" s="162">
        <v>36</v>
      </c>
      <c r="E8" s="162">
        <v>32</v>
      </c>
      <c r="F8" s="162">
        <v>27</v>
      </c>
      <c r="G8" s="323" t="s">
        <v>301</v>
      </c>
      <c r="H8" s="323" t="s">
        <v>311</v>
      </c>
      <c r="I8" s="346" t="s">
        <v>315</v>
      </c>
      <c r="J8" s="334"/>
      <c r="K8" s="162">
        <v>35</v>
      </c>
      <c r="L8" s="162">
        <v>34</v>
      </c>
      <c r="M8" s="162">
        <v>33</v>
      </c>
      <c r="N8" s="162">
        <v>31</v>
      </c>
      <c r="O8" s="324"/>
      <c r="P8" s="162"/>
      <c r="Q8" s="162"/>
      <c r="R8" s="162">
        <v>26</v>
      </c>
      <c r="S8" s="162">
        <v>35</v>
      </c>
      <c r="T8" s="348" t="s">
        <v>322</v>
      </c>
      <c r="U8" s="162">
        <v>34</v>
      </c>
      <c r="V8" s="162"/>
      <c r="W8" s="162"/>
      <c r="X8" s="323" t="s">
        <v>315</v>
      </c>
      <c r="Y8" s="162">
        <v>27</v>
      </c>
      <c r="Z8" s="162">
        <v>31</v>
      </c>
      <c r="AA8" s="323" t="s">
        <v>303</v>
      </c>
      <c r="AB8" s="323" t="s">
        <v>311</v>
      </c>
      <c r="AC8" s="162">
        <v>33</v>
      </c>
      <c r="AD8" s="162">
        <v>34</v>
      </c>
      <c r="AE8" s="162">
        <v>34</v>
      </c>
      <c r="AF8" s="162">
        <v>34</v>
      </c>
      <c r="AG8" s="162">
        <v>35</v>
      </c>
      <c r="AH8" s="162"/>
      <c r="AI8" s="163">
        <v>35</v>
      </c>
      <c r="AJ8" s="164">
        <f t="shared" si="1"/>
        <v>18</v>
      </c>
      <c r="AK8" s="165">
        <f t="shared" si="2"/>
        <v>0</v>
      </c>
      <c r="AL8" s="165">
        <f t="shared" si="3"/>
        <v>18</v>
      </c>
      <c r="AM8" s="165">
        <f t="shared" si="4"/>
        <v>36</v>
      </c>
      <c r="AN8" s="27"/>
      <c r="AO8" s="181" t="str">
        <f t="shared" si="5"/>
        <v> </v>
      </c>
    </row>
    <row r="9" spans="2:41" ht="15">
      <c r="B9" s="120" t="s">
        <v>217</v>
      </c>
      <c r="C9" s="62">
        <f t="shared" si="0"/>
        <v>32.72222222222222</v>
      </c>
      <c r="D9" s="162">
        <v>35</v>
      </c>
      <c r="E9" s="162"/>
      <c r="F9" s="162">
        <v>30</v>
      </c>
      <c r="G9" s="162">
        <v>33</v>
      </c>
      <c r="H9" s="323" t="s">
        <v>305</v>
      </c>
      <c r="I9" s="348" t="s">
        <v>322</v>
      </c>
      <c r="J9" s="324"/>
      <c r="K9" s="323" t="s">
        <v>311</v>
      </c>
      <c r="L9" s="162">
        <v>27</v>
      </c>
      <c r="M9" s="162">
        <v>35</v>
      </c>
      <c r="N9" s="162">
        <v>31</v>
      </c>
      <c r="O9" s="324"/>
      <c r="P9" s="162"/>
      <c r="Q9" s="162">
        <v>34</v>
      </c>
      <c r="R9" s="162">
        <v>33</v>
      </c>
      <c r="S9" s="162">
        <v>35</v>
      </c>
      <c r="T9" s="162">
        <v>34</v>
      </c>
      <c r="U9" s="323" t="s">
        <v>322</v>
      </c>
      <c r="V9" s="162">
        <v>31</v>
      </c>
      <c r="W9" s="323" t="s">
        <v>305</v>
      </c>
      <c r="X9" s="323" t="s">
        <v>305</v>
      </c>
      <c r="Y9" s="162">
        <v>32</v>
      </c>
      <c r="Z9" s="323" t="s">
        <v>305</v>
      </c>
      <c r="AA9" s="162">
        <v>35</v>
      </c>
      <c r="AB9" s="162">
        <v>34</v>
      </c>
      <c r="AC9" s="162">
        <v>33</v>
      </c>
      <c r="AD9" s="162">
        <v>35</v>
      </c>
      <c r="AE9" s="323" t="s">
        <v>301</v>
      </c>
      <c r="AF9" s="162">
        <v>32</v>
      </c>
      <c r="AG9" s="323" t="s">
        <v>303</v>
      </c>
      <c r="AH9" s="162">
        <v>30</v>
      </c>
      <c r="AI9" s="323" t="s">
        <v>295</v>
      </c>
      <c r="AJ9" s="164">
        <f t="shared" si="1"/>
        <v>18</v>
      </c>
      <c r="AK9" s="165">
        <f t="shared" si="2"/>
        <v>0</v>
      </c>
      <c r="AL9" s="165">
        <f t="shared" si="3"/>
        <v>18</v>
      </c>
      <c r="AM9" s="165">
        <f t="shared" si="4"/>
        <v>35</v>
      </c>
      <c r="AO9" s="181" t="str">
        <f t="shared" si="5"/>
        <v> </v>
      </c>
    </row>
    <row r="10" spans="2:41" ht="15">
      <c r="B10" s="120" t="s">
        <v>246</v>
      </c>
      <c r="C10" s="62">
        <f t="shared" si="0"/>
        <v>33.55555555555556</v>
      </c>
      <c r="D10" s="348" t="s">
        <v>303</v>
      </c>
      <c r="E10" s="162">
        <v>32</v>
      </c>
      <c r="F10" s="162">
        <v>34</v>
      </c>
      <c r="G10" s="162">
        <v>36</v>
      </c>
      <c r="H10" s="346" t="s">
        <v>303</v>
      </c>
      <c r="I10" s="162"/>
      <c r="J10" s="324"/>
      <c r="K10" s="162">
        <v>28</v>
      </c>
      <c r="L10" s="162">
        <v>32</v>
      </c>
      <c r="M10" s="162"/>
      <c r="N10" s="162">
        <v>35</v>
      </c>
      <c r="O10" s="324"/>
      <c r="P10" s="162"/>
      <c r="Q10" s="162"/>
      <c r="R10" s="162"/>
      <c r="S10" s="162">
        <v>38</v>
      </c>
      <c r="T10" s="162">
        <v>32</v>
      </c>
      <c r="U10" s="162"/>
      <c r="V10" s="162">
        <v>31</v>
      </c>
      <c r="W10" s="162">
        <v>31</v>
      </c>
      <c r="X10" s="162">
        <v>36</v>
      </c>
      <c r="Y10" s="162">
        <v>33</v>
      </c>
      <c r="Z10" s="162"/>
      <c r="AA10" s="162">
        <v>35</v>
      </c>
      <c r="AB10" s="162">
        <v>34</v>
      </c>
      <c r="AC10" s="162"/>
      <c r="AD10" s="162">
        <v>32</v>
      </c>
      <c r="AE10" s="162">
        <v>34</v>
      </c>
      <c r="AF10" s="162">
        <v>38</v>
      </c>
      <c r="AG10" s="162">
        <v>33</v>
      </c>
      <c r="AH10" s="162"/>
      <c r="AI10" s="162"/>
      <c r="AJ10" s="164">
        <f t="shared" si="1"/>
        <v>18</v>
      </c>
      <c r="AK10" s="165">
        <f t="shared" si="2"/>
        <v>0</v>
      </c>
      <c r="AL10" s="165">
        <f t="shared" si="3"/>
        <v>18</v>
      </c>
      <c r="AM10" s="165">
        <f t="shared" si="4"/>
        <v>38</v>
      </c>
      <c r="AO10" s="181" t="str">
        <f t="shared" si="5"/>
        <v> </v>
      </c>
    </row>
    <row r="11" spans="1:41" ht="15">
      <c r="A11" s="27"/>
      <c r="B11" s="120" t="s">
        <v>251</v>
      </c>
      <c r="C11" s="62">
        <f t="shared" si="0"/>
        <v>33.55555555555556</v>
      </c>
      <c r="D11" s="162">
        <v>30</v>
      </c>
      <c r="E11" s="162"/>
      <c r="F11" s="162"/>
      <c r="G11" s="162"/>
      <c r="H11" s="323" t="s">
        <v>301</v>
      </c>
      <c r="I11" s="333">
        <v>35</v>
      </c>
      <c r="J11" s="334"/>
      <c r="K11" s="162">
        <v>39</v>
      </c>
      <c r="L11" s="162">
        <v>34</v>
      </c>
      <c r="M11" s="162">
        <v>35</v>
      </c>
      <c r="N11" s="162">
        <v>32</v>
      </c>
      <c r="O11" s="324"/>
      <c r="P11" s="162"/>
      <c r="Q11" s="162">
        <v>34</v>
      </c>
      <c r="R11" s="162">
        <v>32</v>
      </c>
      <c r="S11" s="348" t="s">
        <v>303</v>
      </c>
      <c r="T11" s="323" t="s">
        <v>301</v>
      </c>
      <c r="U11" s="162">
        <v>35</v>
      </c>
      <c r="V11" s="162"/>
      <c r="W11" s="162">
        <v>30</v>
      </c>
      <c r="X11" s="162">
        <v>33</v>
      </c>
      <c r="Y11" s="162">
        <v>31</v>
      </c>
      <c r="Z11" s="323" t="s">
        <v>295</v>
      </c>
      <c r="AA11" s="323" t="s">
        <v>304</v>
      </c>
      <c r="AB11" s="323" t="s">
        <v>301</v>
      </c>
      <c r="AC11" s="162"/>
      <c r="AD11" s="162">
        <v>31</v>
      </c>
      <c r="AE11" s="162">
        <v>34</v>
      </c>
      <c r="AF11" s="162">
        <v>39</v>
      </c>
      <c r="AG11" s="162">
        <v>35</v>
      </c>
      <c r="AH11" s="162">
        <v>27</v>
      </c>
      <c r="AI11" s="162">
        <v>38</v>
      </c>
      <c r="AJ11" s="164">
        <f t="shared" si="1"/>
        <v>18</v>
      </c>
      <c r="AK11" s="165">
        <f t="shared" si="2"/>
        <v>0</v>
      </c>
      <c r="AL11" s="165">
        <f t="shared" si="3"/>
        <v>18</v>
      </c>
      <c r="AM11" s="165">
        <f t="shared" si="4"/>
        <v>39</v>
      </c>
      <c r="AO11" s="181" t="str">
        <f t="shared" si="5"/>
        <v> </v>
      </c>
    </row>
    <row r="12" spans="2:41" ht="15">
      <c r="B12" s="120" t="s">
        <v>239</v>
      </c>
      <c r="C12" s="62">
        <f t="shared" si="0"/>
        <v>34.388888888888886</v>
      </c>
      <c r="D12" s="162">
        <v>34</v>
      </c>
      <c r="E12" s="162">
        <v>35</v>
      </c>
      <c r="F12" s="162">
        <v>36</v>
      </c>
      <c r="G12" s="163">
        <v>37</v>
      </c>
      <c r="H12" s="162">
        <v>32</v>
      </c>
      <c r="I12" s="346" t="s">
        <v>303</v>
      </c>
      <c r="J12" s="324"/>
      <c r="K12" s="162">
        <v>33</v>
      </c>
      <c r="L12" s="162"/>
      <c r="M12" s="162"/>
      <c r="N12" s="162">
        <v>31</v>
      </c>
      <c r="O12" s="324"/>
      <c r="P12" s="162">
        <v>37</v>
      </c>
      <c r="Q12" s="162"/>
      <c r="R12" s="162">
        <v>32</v>
      </c>
      <c r="S12" s="162">
        <v>37</v>
      </c>
      <c r="T12" s="162">
        <v>31</v>
      </c>
      <c r="U12" s="162">
        <v>35</v>
      </c>
      <c r="V12" s="162">
        <v>28</v>
      </c>
      <c r="W12" s="162">
        <v>37</v>
      </c>
      <c r="X12" s="162">
        <v>36</v>
      </c>
      <c r="Y12" s="162"/>
      <c r="Z12" s="162">
        <v>36</v>
      </c>
      <c r="AA12" s="163">
        <v>38</v>
      </c>
      <c r="AB12" s="348" t="s">
        <v>305</v>
      </c>
      <c r="AC12" s="323" t="s">
        <v>303</v>
      </c>
      <c r="AD12" s="163"/>
      <c r="AE12" s="162"/>
      <c r="AF12" s="163"/>
      <c r="AG12" s="163"/>
      <c r="AH12" s="162"/>
      <c r="AI12" s="162">
        <v>34</v>
      </c>
      <c r="AJ12" s="164">
        <f t="shared" si="1"/>
        <v>18</v>
      </c>
      <c r="AK12" s="165">
        <f t="shared" si="2"/>
        <v>0</v>
      </c>
      <c r="AL12" s="165">
        <f t="shared" si="3"/>
        <v>18</v>
      </c>
      <c r="AM12" s="165">
        <f t="shared" si="4"/>
        <v>38</v>
      </c>
      <c r="AN12" s="26"/>
      <c r="AO12" s="181" t="str">
        <f t="shared" si="5"/>
        <v> </v>
      </c>
    </row>
    <row r="13" spans="1:41" ht="15">
      <c r="A13" s="27"/>
      <c r="B13" s="120" t="s">
        <v>256</v>
      </c>
      <c r="C13" s="62">
        <f t="shared" si="0"/>
        <v>34.55555555555556</v>
      </c>
      <c r="D13" s="162">
        <v>33</v>
      </c>
      <c r="E13" s="162"/>
      <c r="F13" s="162"/>
      <c r="G13" s="162"/>
      <c r="H13" s="162">
        <v>33</v>
      </c>
      <c r="I13" s="162">
        <v>39</v>
      </c>
      <c r="J13" s="324"/>
      <c r="K13" s="163">
        <v>29</v>
      </c>
      <c r="L13" s="162">
        <v>34</v>
      </c>
      <c r="M13" s="163"/>
      <c r="N13" s="162"/>
      <c r="O13" s="324"/>
      <c r="P13" s="162"/>
      <c r="Q13" s="163"/>
      <c r="R13" s="162"/>
      <c r="S13" s="162"/>
      <c r="T13" s="162">
        <v>38</v>
      </c>
      <c r="U13" s="162">
        <v>28</v>
      </c>
      <c r="V13" s="163">
        <v>33</v>
      </c>
      <c r="W13" s="162"/>
      <c r="X13" s="162"/>
      <c r="Y13" s="162">
        <v>31</v>
      </c>
      <c r="Z13" s="162">
        <v>34</v>
      </c>
      <c r="AA13" s="163">
        <v>38</v>
      </c>
      <c r="AB13" s="162">
        <v>36</v>
      </c>
      <c r="AC13" s="162"/>
      <c r="AD13" s="162"/>
      <c r="AE13" s="162"/>
      <c r="AF13" s="162"/>
      <c r="AG13" s="163">
        <v>31</v>
      </c>
      <c r="AH13" s="162"/>
      <c r="AI13" s="162"/>
      <c r="AJ13" s="164">
        <f t="shared" si="1"/>
        <v>13</v>
      </c>
      <c r="AK13" s="165">
        <f t="shared" si="2"/>
        <v>5</v>
      </c>
      <c r="AL13" s="165">
        <f t="shared" si="3"/>
        <v>18</v>
      </c>
      <c r="AM13" s="165">
        <f t="shared" si="4"/>
        <v>39</v>
      </c>
      <c r="AO13" s="181" t="str">
        <f t="shared" si="5"/>
        <v> </v>
      </c>
    </row>
    <row r="14" spans="1:42" s="27" customFormat="1" ht="15">
      <c r="A14" s="22"/>
      <c r="B14" s="120" t="s">
        <v>221</v>
      </c>
      <c r="C14" s="62">
        <f t="shared" si="0"/>
        <v>34.72222222222222</v>
      </c>
      <c r="D14" s="162">
        <v>35</v>
      </c>
      <c r="E14" s="162">
        <v>37</v>
      </c>
      <c r="F14" s="162">
        <v>35</v>
      </c>
      <c r="G14" s="162">
        <v>36</v>
      </c>
      <c r="H14" s="162">
        <v>32</v>
      </c>
      <c r="I14" s="323" t="s">
        <v>311</v>
      </c>
      <c r="J14" s="324"/>
      <c r="K14" s="162">
        <v>37</v>
      </c>
      <c r="L14" s="162">
        <v>32</v>
      </c>
      <c r="M14" s="162">
        <v>33</v>
      </c>
      <c r="N14" s="162">
        <v>38</v>
      </c>
      <c r="O14" s="324"/>
      <c r="P14" s="162"/>
      <c r="Q14" s="162"/>
      <c r="R14" s="162"/>
      <c r="S14" s="162">
        <v>32</v>
      </c>
      <c r="T14" s="162">
        <v>36</v>
      </c>
      <c r="U14" s="162">
        <v>34</v>
      </c>
      <c r="V14" s="162">
        <v>32</v>
      </c>
      <c r="W14" s="162"/>
      <c r="X14" s="162">
        <v>37</v>
      </c>
      <c r="Y14" s="348" t="s">
        <v>305</v>
      </c>
      <c r="Z14" s="162"/>
      <c r="AA14" s="162">
        <v>37</v>
      </c>
      <c r="AB14" s="162">
        <v>36</v>
      </c>
      <c r="AC14" s="162">
        <v>33</v>
      </c>
      <c r="AD14" s="162">
        <v>33</v>
      </c>
      <c r="AE14" s="323" t="s">
        <v>311</v>
      </c>
      <c r="AF14" s="345" t="s">
        <v>303</v>
      </c>
      <c r="AG14" s="162"/>
      <c r="AH14" s="162"/>
      <c r="AI14" s="162"/>
      <c r="AJ14" s="164">
        <f t="shared" si="1"/>
        <v>18</v>
      </c>
      <c r="AK14" s="165">
        <f t="shared" si="2"/>
        <v>0</v>
      </c>
      <c r="AL14" s="165">
        <f t="shared" si="3"/>
        <v>18</v>
      </c>
      <c r="AM14" s="165">
        <f t="shared" si="4"/>
        <v>38</v>
      </c>
      <c r="AN14" s="22"/>
      <c r="AO14" s="181" t="str">
        <f t="shared" si="5"/>
        <v> </v>
      </c>
      <c r="AP14" s="22"/>
    </row>
    <row r="15" spans="1:42" ht="15">
      <c r="A15" s="27"/>
      <c r="B15" s="120" t="s">
        <v>255</v>
      </c>
      <c r="C15" s="62">
        <f t="shared" si="0"/>
        <v>35.22222222222222</v>
      </c>
      <c r="D15" s="163"/>
      <c r="E15" s="163"/>
      <c r="F15" s="163"/>
      <c r="G15" s="162"/>
      <c r="H15" s="163"/>
      <c r="I15" s="163">
        <v>36</v>
      </c>
      <c r="J15" s="325"/>
      <c r="K15" s="163">
        <v>35</v>
      </c>
      <c r="L15" s="162">
        <v>36</v>
      </c>
      <c r="M15" s="162"/>
      <c r="N15" s="162">
        <v>35</v>
      </c>
      <c r="O15" s="325"/>
      <c r="P15" s="162"/>
      <c r="Q15" s="163">
        <v>31</v>
      </c>
      <c r="R15" s="162"/>
      <c r="S15" s="162">
        <v>36</v>
      </c>
      <c r="T15" s="162">
        <v>41</v>
      </c>
      <c r="U15" s="163">
        <v>32</v>
      </c>
      <c r="V15" s="162"/>
      <c r="W15" s="163">
        <v>32</v>
      </c>
      <c r="X15" s="162">
        <v>39</v>
      </c>
      <c r="Y15" s="162">
        <v>40</v>
      </c>
      <c r="Z15" s="162"/>
      <c r="AA15" s="162"/>
      <c r="AB15" s="162"/>
      <c r="AC15" s="162">
        <v>33</v>
      </c>
      <c r="AD15" s="162">
        <v>31</v>
      </c>
      <c r="AE15" s="162"/>
      <c r="AF15" s="162"/>
      <c r="AG15" s="162">
        <v>30</v>
      </c>
      <c r="AH15" s="162"/>
      <c r="AI15" s="162">
        <v>36</v>
      </c>
      <c r="AJ15" s="164">
        <f t="shared" si="1"/>
        <v>15</v>
      </c>
      <c r="AK15" s="165">
        <f t="shared" si="2"/>
        <v>3</v>
      </c>
      <c r="AL15" s="165">
        <f t="shared" si="3"/>
        <v>18</v>
      </c>
      <c r="AM15" s="165">
        <f t="shared" si="4"/>
        <v>41</v>
      </c>
      <c r="AO15" s="181" t="str">
        <f t="shared" si="5"/>
        <v> </v>
      </c>
      <c r="AP15" s="27"/>
    </row>
    <row r="16" spans="2:41" ht="15">
      <c r="B16" s="120" t="s">
        <v>248</v>
      </c>
      <c r="C16" s="62">
        <f t="shared" si="0"/>
        <v>35.388888888888886</v>
      </c>
      <c r="D16" s="162"/>
      <c r="E16" s="162">
        <v>40</v>
      </c>
      <c r="F16" s="162"/>
      <c r="G16" s="162">
        <v>37</v>
      </c>
      <c r="H16" s="346" t="s">
        <v>311</v>
      </c>
      <c r="I16" s="323" t="s">
        <v>311</v>
      </c>
      <c r="J16" s="324"/>
      <c r="K16" s="162">
        <v>29</v>
      </c>
      <c r="L16" s="162">
        <v>38</v>
      </c>
      <c r="M16" s="162">
        <v>36</v>
      </c>
      <c r="N16" s="162">
        <v>34</v>
      </c>
      <c r="O16" s="324"/>
      <c r="P16" s="162"/>
      <c r="Q16" s="162"/>
      <c r="R16" s="162">
        <v>34</v>
      </c>
      <c r="S16" s="162">
        <v>36</v>
      </c>
      <c r="T16" s="162"/>
      <c r="U16" s="162">
        <v>33</v>
      </c>
      <c r="V16" s="162">
        <v>34</v>
      </c>
      <c r="W16" s="162">
        <v>36</v>
      </c>
      <c r="X16" s="162">
        <v>39</v>
      </c>
      <c r="Y16" s="162">
        <v>37</v>
      </c>
      <c r="Z16" s="162"/>
      <c r="AA16" s="323" t="s">
        <v>311</v>
      </c>
      <c r="AB16" s="162">
        <v>38</v>
      </c>
      <c r="AC16" s="162">
        <v>35</v>
      </c>
      <c r="AD16" s="162"/>
      <c r="AE16" s="162">
        <v>32</v>
      </c>
      <c r="AF16" s="162">
        <v>36</v>
      </c>
      <c r="AG16" s="162">
        <v>33</v>
      </c>
      <c r="AH16" s="162"/>
      <c r="AI16" s="162"/>
      <c r="AJ16" s="164">
        <f t="shared" si="1"/>
        <v>18</v>
      </c>
      <c r="AK16" s="165">
        <f t="shared" si="2"/>
        <v>0</v>
      </c>
      <c r="AL16" s="165">
        <f t="shared" si="3"/>
        <v>18</v>
      </c>
      <c r="AM16" s="165">
        <f t="shared" si="4"/>
        <v>40</v>
      </c>
      <c r="AO16" s="181" t="str">
        <f t="shared" si="5"/>
        <v> </v>
      </c>
    </row>
    <row r="17" spans="2:41" ht="15">
      <c r="B17" s="120" t="s">
        <v>245</v>
      </c>
      <c r="C17" s="62">
        <f t="shared" si="0"/>
        <v>35.833333333333336</v>
      </c>
      <c r="D17" s="162">
        <v>34</v>
      </c>
      <c r="E17" s="162"/>
      <c r="F17" s="162"/>
      <c r="G17" s="162">
        <v>34</v>
      </c>
      <c r="H17" s="162"/>
      <c r="I17" s="162"/>
      <c r="J17" s="324"/>
      <c r="K17" s="162">
        <v>31</v>
      </c>
      <c r="L17" s="162"/>
      <c r="M17" s="162">
        <v>34</v>
      </c>
      <c r="N17" s="162"/>
      <c r="O17" s="324"/>
      <c r="P17" s="162"/>
      <c r="Q17" s="163"/>
      <c r="R17" s="162"/>
      <c r="S17" s="162"/>
      <c r="T17" s="162"/>
      <c r="U17" s="162"/>
      <c r="V17" s="162"/>
      <c r="W17" s="162"/>
      <c r="X17" s="162"/>
      <c r="Y17" s="162">
        <v>31</v>
      </c>
      <c r="Z17" s="162"/>
      <c r="AA17" s="163">
        <v>40</v>
      </c>
      <c r="AB17" s="162">
        <v>42</v>
      </c>
      <c r="AC17" s="162"/>
      <c r="AD17" s="162"/>
      <c r="AE17" s="162">
        <v>36</v>
      </c>
      <c r="AF17" s="163"/>
      <c r="AG17" s="162">
        <v>30</v>
      </c>
      <c r="AH17" s="162"/>
      <c r="AI17" s="162"/>
      <c r="AJ17" s="164">
        <f t="shared" si="1"/>
        <v>9</v>
      </c>
      <c r="AK17" s="165">
        <f t="shared" si="2"/>
        <v>9</v>
      </c>
      <c r="AL17" s="165">
        <f t="shared" si="3"/>
        <v>18</v>
      </c>
      <c r="AM17" s="165">
        <f t="shared" si="4"/>
        <v>42</v>
      </c>
      <c r="AO17" s="181" t="str">
        <f t="shared" si="5"/>
        <v> </v>
      </c>
    </row>
    <row r="18" spans="2:41" ht="15">
      <c r="B18" s="120" t="s">
        <v>328</v>
      </c>
      <c r="C18" s="62">
        <f t="shared" si="0"/>
        <v>36.05555555555556</v>
      </c>
      <c r="D18" s="162">
        <v>33</v>
      </c>
      <c r="E18" s="162"/>
      <c r="F18" s="162"/>
      <c r="G18" s="162">
        <v>33</v>
      </c>
      <c r="H18" s="162">
        <v>37</v>
      </c>
      <c r="I18" s="162"/>
      <c r="J18" s="324"/>
      <c r="K18" s="162"/>
      <c r="L18" s="162"/>
      <c r="M18" s="162"/>
      <c r="N18" s="162">
        <v>32</v>
      </c>
      <c r="O18" s="324"/>
      <c r="P18" s="162"/>
      <c r="Q18" s="162"/>
      <c r="R18" s="162"/>
      <c r="S18" s="162"/>
      <c r="T18" s="162">
        <v>35</v>
      </c>
      <c r="U18" s="162">
        <v>37</v>
      </c>
      <c r="V18" s="162">
        <v>31</v>
      </c>
      <c r="W18" s="162">
        <v>38</v>
      </c>
      <c r="X18" s="162">
        <v>34</v>
      </c>
      <c r="Y18" s="162"/>
      <c r="Z18" s="162"/>
      <c r="AA18" s="162"/>
      <c r="AB18" s="209"/>
      <c r="AC18" s="163">
        <v>39</v>
      </c>
      <c r="AD18" s="162">
        <v>41</v>
      </c>
      <c r="AE18" s="162"/>
      <c r="AF18" s="162"/>
      <c r="AG18" s="162"/>
      <c r="AH18" s="162"/>
      <c r="AI18" s="163"/>
      <c r="AJ18" s="164">
        <f t="shared" si="1"/>
        <v>11</v>
      </c>
      <c r="AK18" s="165">
        <f t="shared" si="2"/>
        <v>7</v>
      </c>
      <c r="AL18" s="165">
        <f t="shared" si="3"/>
        <v>18</v>
      </c>
      <c r="AM18" s="165">
        <f t="shared" si="4"/>
        <v>41</v>
      </c>
      <c r="AO18" s="181" t="str">
        <f t="shared" si="5"/>
        <v> </v>
      </c>
    </row>
    <row r="19" spans="2:41" ht="15">
      <c r="B19" s="120" t="s">
        <v>240</v>
      </c>
      <c r="C19" s="62">
        <f t="shared" si="0"/>
        <v>36.166666666666664</v>
      </c>
      <c r="D19" s="162"/>
      <c r="E19" s="162"/>
      <c r="F19" s="162"/>
      <c r="G19" s="163">
        <v>31</v>
      </c>
      <c r="H19" s="163"/>
      <c r="I19" s="163">
        <v>37</v>
      </c>
      <c r="J19" s="325"/>
      <c r="K19" s="163"/>
      <c r="L19" s="162"/>
      <c r="M19" s="163">
        <v>32</v>
      </c>
      <c r="N19" s="163">
        <v>36</v>
      </c>
      <c r="O19" s="325"/>
      <c r="P19" s="162"/>
      <c r="Q19" s="162"/>
      <c r="R19" s="163"/>
      <c r="S19" s="162">
        <v>35</v>
      </c>
      <c r="T19" s="162"/>
      <c r="U19" s="162">
        <v>35</v>
      </c>
      <c r="V19" s="162">
        <v>30</v>
      </c>
      <c r="W19" s="163">
        <v>37</v>
      </c>
      <c r="X19" s="163">
        <v>36</v>
      </c>
      <c r="Y19" s="163">
        <v>34</v>
      </c>
      <c r="Z19" s="162"/>
      <c r="AA19" s="209">
        <v>43</v>
      </c>
      <c r="AB19" s="162">
        <v>42</v>
      </c>
      <c r="AC19" s="162">
        <v>40</v>
      </c>
      <c r="AD19" s="163">
        <v>36</v>
      </c>
      <c r="AE19" s="162">
        <v>37</v>
      </c>
      <c r="AF19" s="162"/>
      <c r="AG19" s="162"/>
      <c r="AH19" s="162"/>
      <c r="AI19" s="163">
        <v>36</v>
      </c>
      <c r="AJ19" s="164">
        <f t="shared" si="1"/>
        <v>16</v>
      </c>
      <c r="AK19" s="165">
        <f t="shared" si="2"/>
        <v>2</v>
      </c>
      <c r="AL19" s="165">
        <f t="shared" si="3"/>
        <v>18</v>
      </c>
      <c r="AM19" s="165">
        <f t="shared" si="4"/>
        <v>43</v>
      </c>
      <c r="AO19" s="181" t="str">
        <f t="shared" si="5"/>
        <v> </v>
      </c>
    </row>
    <row r="20" spans="2:41" ht="15">
      <c r="B20" s="120" t="s">
        <v>242</v>
      </c>
      <c r="C20" s="62">
        <f t="shared" si="0"/>
        <v>36.72222222222222</v>
      </c>
      <c r="D20" s="162"/>
      <c r="E20" s="162"/>
      <c r="F20" s="162"/>
      <c r="G20" s="162"/>
      <c r="H20" s="162"/>
      <c r="I20" s="162"/>
      <c r="J20" s="324"/>
      <c r="K20" s="162"/>
      <c r="L20" s="162">
        <v>30</v>
      </c>
      <c r="M20" s="162">
        <v>39</v>
      </c>
      <c r="N20" s="162"/>
      <c r="O20" s="324"/>
      <c r="P20" s="162"/>
      <c r="Q20" s="162">
        <v>36</v>
      </c>
      <c r="R20" s="162"/>
      <c r="S20" s="162">
        <v>32</v>
      </c>
      <c r="T20" s="162"/>
      <c r="U20" s="162"/>
      <c r="V20" s="162"/>
      <c r="W20" s="162"/>
      <c r="X20" s="162"/>
      <c r="Y20" s="162"/>
      <c r="Z20" s="162">
        <v>38</v>
      </c>
      <c r="AA20" s="162">
        <v>43</v>
      </c>
      <c r="AB20" s="162">
        <v>36</v>
      </c>
      <c r="AC20" s="162"/>
      <c r="AD20" s="162">
        <v>39</v>
      </c>
      <c r="AE20" s="162"/>
      <c r="AF20" s="162">
        <v>36</v>
      </c>
      <c r="AG20" s="162">
        <v>36</v>
      </c>
      <c r="AH20" s="162"/>
      <c r="AI20" s="162"/>
      <c r="AJ20" s="164">
        <f t="shared" si="1"/>
        <v>10</v>
      </c>
      <c r="AK20" s="165">
        <f t="shared" si="2"/>
        <v>8</v>
      </c>
      <c r="AL20" s="165">
        <f t="shared" si="3"/>
        <v>18</v>
      </c>
      <c r="AM20" s="165">
        <f t="shared" si="4"/>
        <v>43</v>
      </c>
      <c r="AO20" s="181" t="str">
        <f t="shared" si="5"/>
        <v> </v>
      </c>
    </row>
    <row r="21" spans="2:41" ht="15">
      <c r="B21" s="120" t="s">
        <v>227</v>
      </c>
      <c r="C21" s="62">
        <f t="shared" si="0"/>
        <v>36.833333333333336</v>
      </c>
      <c r="D21" s="162">
        <v>35</v>
      </c>
      <c r="E21" s="162"/>
      <c r="F21" s="162"/>
      <c r="G21" s="162"/>
      <c r="H21" s="162"/>
      <c r="I21" s="162">
        <v>41</v>
      </c>
      <c r="J21" s="324"/>
      <c r="K21" s="163"/>
      <c r="L21" s="162"/>
      <c r="M21" s="162"/>
      <c r="N21" s="162"/>
      <c r="O21" s="324"/>
      <c r="P21" s="162"/>
      <c r="Q21" s="162"/>
      <c r="R21" s="162"/>
      <c r="S21" s="162"/>
      <c r="T21" s="162"/>
      <c r="U21" s="162"/>
      <c r="V21" s="162"/>
      <c r="W21" s="162">
        <v>36</v>
      </c>
      <c r="X21" s="162"/>
      <c r="Y21" s="163"/>
      <c r="Z21" s="162"/>
      <c r="AA21" s="162"/>
      <c r="AB21" s="162"/>
      <c r="AC21" s="163"/>
      <c r="AD21" s="163"/>
      <c r="AE21" s="162"/>
      <c r="AF21" s="209"/>
      <c r="AG21" s="162"/>
      <c r="AH21" s="162">
        <v>33</v>
      </c>
      <c r="AI21" s="162"/>
      <c r="AJ21" s="164">
        <f t="shared" si="1"/>
        <v>4</v>
      </c>
      <c r="AK21" s="165">
        <f t="shared" si="2"/>
        <v>14</v>
      </c>
      <c r="AL21" s="165">
        <f t="shared" si="3"/>
        <v>18</v>
      </c>
      <c r="AM21" s="165">
        <f t="shared" si="4"/>
        <v>41</v>
      </c>
      <c r="AO21" s="181" t="str">
        <f t="shared" si="5"/>
        <v> </v>
      </c>
    </row>
    <row r="22" spans="2:41" ht="15">
      <c r="B22" s="120" t="s">
        <v>238</v>
      </c>
      <c r="C22" s="62">
        <f t="shared" si="0"/>
        <v>37.333333333333336</v>
      </c>
      <c r="D22" s="162">
        <v>38</v>
      </c>
      <c r="E22" s="162">
        <v>33</v>
      </c>
      <c r="F22" s="162"/>
      <c r="G22" s="162"/>
      <c r="H22" s="209"/>
      <c r="I22" s="209">
        <v>47</v>
      </c>
      <c r="J22" s="335"/>
      <c r="K22" s="163">
        <v>38</v>
      </c>
      <c r="L22" s="162"/>
      <c r="M22" s="162">
        <v>37</v>
      </c>
      <c r="N22" s="162"/>
      <c r="O22" s="324"/>
      <c r="P22" s="162"/>
      <c r="Q22" s="162">
        <v>38</v>
      </c>
      <c r="R22" s="162"/>
      <c r="S22" s="162"/>
      <c r="T22" s="162"/>
      <c r="U22" s="163">
        <v>35</v>
      </c>
      <c r="V22" s="163"/>
      <c r="W22" s="162"/>
      <c r="X22" s="162"/>
      <c r="Y22" s="163">
        <v>33</v>
      </c>
      <c r="Z22" s="162">
        <v>38</v>
      </c>
      <c r="AA22" s="163">
        <v>40</v>
      </c>
      <c r="AB22" s="163">
        <v>44</v>
      </c>
      <c r="AC22" s="163">
        <v>38</v>
      </c>
      <c r="AD22" s="162"/>
      <c r="AE22" s="163">
        <v>33</v>
      </c>
      <c r="AF22" s="162"/>
      <c r="AG22" s="162">
        <v>35</v>
      </c>
      <c r="AH22" s="162">
        <v>34</v>
      </c>
      <c r="AI22" s="163"/>
      <c r="AJ22" s="164">
        <f t="shared" si="1"/>
        <v>15</v>
      </c>
      <c r="AK22" s="165">
        <f t="shared" si="2"/>
        <v>3</v>
      </c>
      <c r="AL22" s="165">
        <f t="shared" si="3"/>
        <v>18</v>
      </c>
      <c r="AM22" s="165">
        <f t="shared" si="4"/>
        <v>47</v>
      </c>
      <c r="AO22" s="181" t="str">
        <f t="shared" si="5"/>
        <v> </v>
      </c>
    </row>
    <row r="23" spans="2:41" ht="15">
      <c r="B23" s="120" t="s">
        <v>247</v>
      </c>
      <c r="C23" s="62">
        <f t="shared" si="0"/>
        <v>37.666666666666664</v>
      </c>
      <c r="D23" s="162"/>
      <c r="E23" s="162"/>
      <c r="F23" s="162"/>
      <c r="G23" s="162"/>
      <c r="H23" s="162"/>
      <c r="I23" s="162">
        <v>42</v>
      </c>
      <c r="J23" s="324"/>
      <c r="K23" s="162"/>
      <c r="L23" s="162"/>
      <c r="M23" s="162">
        <v>37</v>
      </c>
      <c r="N23" s="162"/>
      <c r="O23" s="324"/>
      <c r="P23" s="162">
        <v>41</v>
      </c>
      <c r="Q23" s="162">
        <v>34</v>
      </c>
      <c r="R23" s="162">
        <v>30</v>
      </c>
      <c r="S23" s="162"/>
      <c r="T23" s="162"/>
      <c r="U23" s="162">
        <v>36</v>
      </c>
      <c r="V23" s="162"/>
      <c r="W23" s="162">
        <v>36</v>
      </c>
      <c r="X23" s="162"/>
      <c r="Y23" s="162">
        <v>43</v>
      </c>
      <c r="Z23" s="162">
        <v>36</v>
      </c>
      <c r="AA23" s="162">
        <v>35</v>
      </c>
      <c r="AB23" s="162">
        <v>43</v>
      </c>
      <c r="AC23" s="162"/>
      <c r="AD23" s="162"/>
      <c r="AE23" s="162">
        <v>39</v>
      </c>
      <c r="AF23" s="162">
        <v>44</v>
      </c>
      <c r="AG23" s="162">
        <v>36</v>
      </c>
      <c r="AH23" s="162">
        <v>35</v>
      </c>
      <c r="AI23" s="162"/>
      <c r="AJ23" s="164">
        <f t="shared" si="1"/>
        <v>15</v>
      </c>
      <c r="AK23" s="165">
        <f t="shared" si="2"/>
        <v>3</v>
      </c>
      <c r="AL23" s="165">
        <f t="shared" si="3"/>
        <v>18</v>
      </c>
      <c r="AM23" s="165">
        <f t="shared" si="4"/>
        <v>44</v>
      </c>
      <c r="AO23" s="181" t="str">
        <f t="shared" si="5"/>
        <v> </v>
      </c>
    </row>
    <row r="24" spans="2:41" ht="15">
      <c r="B24" s="120" t="s">
        <v>252</v>
      </c>
      <c r="C24" s="62">
        <f t="shared" si="0"/>
        <v>38.166666666666664</v>
      </c>
      <c r="D24" s="162"/>
      <c r="E24" s="162"/>
      <c r="F24" s="162"/>
      <c r="G24" s="162"/>
      <c r="H24" s="162"/>
      <c r="I24" s="162">
        <v>38</v>
      </c>
      <c r="J24" s="324"/>
      <c r="K24" s="162"/>
      <c r="L24" s="162"/>
      <c r="M24" s="162"/>
      <c r="N24" s="162"/>
      <c r="O24" s="324"/>
      <c r="P24" s="162"/>
      <c r="Q24" s="162"/>
      <c r="R24" s="162">
        <v>34</v>
      </c>
      <c r="S24" s="162">
        <v>40</v>
      </c>
      <c r="T24" s="162">
        <v>38</v>
      </c>
      <c r="U24" s="162"/>
      <c r="V24" s="162"/>
      <c r="W24" s="162">
        <v>37</v>
      </c>
      <c r="X24" s="162">
        <v>38</v>
      </c>
      <c r="Y24" s="162"/>
      <c r="Z24" s="162">
        <v>39</v>
      </c>
      <c r="AA24" s="162">
        <v>47</v>
      </c>
      <c r="AB24" s="162">
        <v>42</v>
      </c>
      <c r="AC24" s="162">
        <v>40</v>
      </c>
      <c r="AD24" s="162"/>
      <c r="AE24" s="162"/>
      <c r="AF24" s="162"/>
      <c r="AG24" s="162">
        <v>42</v>
      </c>
      <c r="AH24" s="162">
        <v>30</v>
      </c>
      <c r="AI24" s="162"/>
      <c r="AJ24" s="164">
        <f t="shared" si="1"/>
        <v>12</v>
      </c>
      <c r="AK24" s="165">
        <f t="shared" si="2"/>
        <v>6</v>
      </c>
      <c r="AL24" s="165">
        <f t="shared" si="3"/>
        <v>18</v>
      </c>
      <c r="AM24" s="165">
        <f t="shared" si="4"/>
        <v>47</v>
      </c>
      <c r="AO24" s="181" t="str">
        <f t="shared" si="5"/>
        <v> </v>
      </c>
    </row>
    <row r="25" spans="2:41" ht="15">
      <c r="B25" s="120" t="s">
        <v>225</v>
      </c>
      <c r="C25" s="62">
        <f t="shared" si="0"/>
        <v>38.888888888888886</v>
      </c>
      <c r="D25" s="162"/>
      <c r="E25" s="162"/>
      <c r="F25" s="162"/>
      <c r="G25" s="162"/>
      <c r="H25" s="162">
        <v>41</v>
      </c>
      <c r="I25" s="162">
        <v>43</v>
      </c>
      <c r="J25" s="324"/>
      <c r="K25" s="162">
        <v>41</v>
      </c>
      <c r="L25" s="162">
        <v>36</v>
      </c>
      <c r="M25" s="162">
        <v>36</v>
      </c>
      <c r="N25" s="162">
        <v>30</v>
      </c>
      <c r="O25" s="324"/>
      <c r="P25" s="162"/>
      <c r="Q25" s="162"/>
      <c r="R25" s="162"/>
      <c r="S25" s="162">
        <v>43</v>
      </c>
      <c r="T25" s="162">
        <v>44</v>
      </c>
      <c r="U25" s="162"/>
      <c r="V25" s="162">
        <v>41</v>
      </c>
      <c r="W25" s="162">
        <v>37</v>
      </c>
      <c r="X25" s="162">
        <v>39</v>
      </c>
      <c r="Y25" s="162">
        <v>37</v>
      </c>
      <c r="Z25" s="162"/>
      <c r="AA25" s="162"/>
      <c r="AB25" s="162"/>
      <c r="AC25" s="162">
        <v>37</v>
      </c>
      <c r="AD25" s="162"/>
      <c r="AE25" s="162">
        <v>44</v>
      </c>
      <c r="AF25" s="162">
        <v>41</v>
      </c>
      <c r="AG25" s="162">
        <v>36</v>
      </c>
      <c r="AH25" s="162"/>
      <c r="AI25" s="162"/>
      <c r="AJ25" s="164">
        <f t="shared" si="1"/>
        <v>16</v>
      </c>
      <c r="AK25" s="165">
        <f t="shared" si="2"/>
        <v>2</v>
      </c>
      <c r="AL25" s="165">
        <f t="shared" si="3"/>
        <v>18</v>
      </c>
      <c r="AM25" s="165">
        <f t="shared" si="4"/>
        <v>44</v>
      </c>
      <c r="AO25" s="181" t="str">
        <f t="shared" si="5"/>
        <v> </v>
      </c>
    </row>
    <row r="26" spans="2:42" ht="15">
      <c r="B26" s="120" t="s">
        <v>249</v>
      </c>
      <c r="C26" s="62">
        <f t="shared" si="0"/>
        <v>38.94444444444444</v>
      </c>
      <c r="D26" s="162">
        <v>41</v>
      </c>
      <c r="E26" s="162">
        <v>36</v>
      </c>
      <c r="F26" s="162"/>
      <c r="G26" s="163">
        <v>40</v>
      </c>
      <c r="H26" s="162"/>
      <c r="I26" s="162"/>
      <c r="J26" s="324"/>
      <c r="K26" s="162"/>
      <c r="L26" s="162"/>
      <c r="M26" s="162"/>
      <c r="N26" s="163"/>
      <c r="O26" s="324"/>
      <c r="P26" s="162">
        <v>35</v>
      </c>
      <c r="Q26" s="162">
        <v>39</v>
      </c>
      <c r="R26" s="162"/>
      <c r="S26" s="162">
        <v>45</v>
      </c>
      <c r="T26" s="162">
        <v>35</v>
      </c>
      <c r="U26" s="162">
        <v>38</v>
      </c>
      <c r="V26" s="162"/>
      <c r="W26" s="162"/>
      <c r="X26" s="162">
        <v>38</v>
      </c>
      <c r="Y26" s="162">
        <v>39</v>
      </c>
      <c r="Z26" s="163"/>
      <c r="AA26" s="162">
        <v>38</v>
      </c>
      <c r="AB26" s="163">
        <v>43</v>
      </c>
      <c r="AC26" s="163">
        <v>39</v>
      </c>
      <c r="AD26" s="163">
        <v>39</v>
      </c>
      <c r="AE26" s="163">
        <v>42</v>
      </c>
      <c r="AF26" s="163">
        <v>40</v>
      </c>
      <c r="AG26" s="162"/>
      <c r="AH26" s="162"/>
      <c r="AI26" s="162"/>
      <c r="AJ26" s="164">
        <f t="shared" si="1"/>
        <v>16</v>
      </c>
      <c r="AK26" s="165">
        <f t="shared" si="2"/>
        <v>2</v>
      </c>
      <c r="AL26" s="165">
        <f t="shared" si="3"/>
        <v>18</v>
      </c>
      <c r="AM26" s="165">
        <f t="shared" si="4"/>
        <v>45</v>
      </c>
      <c r="AO26" s="181" t="str">
        <f t="shared" si="5"/>
        <v> </v>
      </c>
      <c r="AP26" s="27"/>
    </row>
    <row r="27" spans="4:35" ht="15">
      <c r="D27" s="173">
        <f aca="true" t="shared" si="6" ref="D27:AI27">SUM(D3:D26)</f>
        <v>516</v>
      </c>
      <c r="E27" s="173">
        <f t="shared" si="6"/>
        <v>375</v>
      </c>
      <c r="F27" s="173">
        <f t="shared" si="6"/>
        <v>262</v>
      </c>
      <c r="G27" s="173">
        <f t="shared" si="6"/>
        <v>410</v>
      </c>
      <c r="H27" s="173">
        <f t="shared" si="6"/>
        <v>270</v>
      </c>
      <c r="I27" s="173">
        <f t="shared" si="6"/>
        <v>460</v>
      </c>
      <c r="J27" s="173"/>
      <c r="K27" s="173">
        <f t="shared" si="6"/>
        <v>467</v>
      </c>
      <c r="L27" s="173">
        <f t="shared" si="6"/>
        <v>460</v>
      </c>
      <c r="M27" s="173">
        <f t="shared" si="6"/>
        <v>451</v>
      </c>
      <c r="N27" s="173">
        <f t="shared" si="6"/>
        <v>459</v>
      </c>
      <c r="O27" s="173">
        <f t="shared" si="6"/>
        <v>0</v>
      </c>
      <c r="P27" s="173">
        <f t="shared" si="6"/>
        <v>141</v>
      </c>
      <c r="Q27" s="173">
        <f t="shared" si="6"/>
        <v>305</v>
      </c>
      <c r="R27" s="173">
        <f t="shared" si="6"/>
        <v>309</v>
      </c>
      <c r="S27" s="173">
        <f t="shared" si="6"/>
        <v>562</v>
      </c>
      <c r="T27" s="173">
        <f t="shared" si="6"/>
        <v>423</v>
      </c>
      <c r="U27" s="173">
        <f t="shared" si="6"/>
        <v>531</v>
      </c>
      <c r="V27" s="173">
        <f t="shared" si="6"/>
        <v>443</v>
      </c>
      <c r="W27" s="173">
        <f t="shared" si="6"/>
        <v>508</v>
      </c>
      <c r="X27" s="173">
        <f t="shared" si="6"/>
        <v>525</v>
      </c>
      <c r="Y27" s="173">
        <f t="shared" si="6"/>
        <v>549</v>
      </c>
      <c r="Z27" s="173">
        <f t="shared" si="6"/>
        <v>346</v>
      </c>
      <c r="AA27" s="173">
        <f t="shared" si="6"/>
        <v>569</v>
      </c>
      <c r="AB27" s="173">
        <f t="shared" si="6"/>
        <v>470</v>
      </c>
      <c r="AC27" s="173">
        <f t="shared" si="6"/>
        <v>564</v>
      </c>
      <c r="AD27" s="173">
        <f t="shared" si="6"/>
        <v>483</v>
      </c>
      <c r="AE27" s="173">
        <f t="shared" si="6"/>
        <v>429</v>
      </c>
      <c r="AF27" s="173">
        <f t="shared" si="6"/>
        <v>438</v>
      </c>
      <c r="AG27" s="173">
        <f t="shared" si="6"/>
        <v>503</v>
      </c>
      <c r="AH27" s="173">
        <f t="shared" si="6"/>
        <v>251</v>
      </c>
      <c r="AI27" s="173">
        <f t="shared" si="6"/>
        <v>214</v>
      </c>
    </row>
    <row r="28" spans="2:39" ht="15">
      <c r="B28" s="168" t="s">
        <v>80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8"/>
      <c r="AK28" s="168"/>
      <c r="AL28" s="168"/>
      <c r="AM28" s="168"/>
    </row>
    <row r="29" spans="2:39" ht="15">
      <c r="B29" s="168" t="s">
        <v>47</v>
      </c>
      <c r="C29" s="168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68"/>
      <c r="AK29" s="168"/>
      <c r="AL29" s="168"/>
      <c r="AM29" s="168"/>
    </row>
    <row r="30" spans="3:39" ht="12.75" customHeight="1">
      <c r="C30" s="168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68"/>
      <c r="AK30" s="168"/>
      <c r="AL30" s="168"/>
      <c r="AM30" s="168"/>
    </row>
    <row r="31" spans="2:39" ht="15">
      <c r="B31" s="171" t="s">
        <v>55</v>
      </c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68"/>
      <c r="AK31" s="168"/>
      <c r="AL31" s="168"/>
      <c r="AM31" s="168"/>
    </row>
  </sheetData>
  <sheetProtection/>
  <printOptions horizontalCentered="1" verticalCentered="1"/>
  <pageMargins left="0.4330708661417323" right="0.4330708661417323" top="0.5511811023622047" bottom="0.5511811023622047" header="0.31496062992125984" footer="0.31496062992125984"/>
  <pageSetup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N42"/>
  <sheetViews>
    <sheetView zoomScale="90" zoomScaleNormal="90" zoomScalePageLayoutView="0" workbookViewId="0" topLeftCell="B1">
      <selection activeCell="E39" sqref="B3:E39"/>
    </sheetView>
  </sheetViews>
  <sheetFormatPr defaultColWidth="9.140625" defaultRowHeight="12.75"/>
  <cols>
    <col min="1" max="1" width="4.421875" style="39" hidden="1" customWidth="1"/>
    <col min="2" max="2" width="16.28125" style="207" customWidth="1"/>
    <col min="3" max="3" width="13.140625" style="52" customWidth="1"/>
    <col min="4" max="4" width="15.00390625" style="208" customWidth="1"/>
    <col min="5" max="5" width="10.140625" style="283" customWidth="1"/>
    <col min="6" max="6" width="4.00390625" style="39" customWidth="1"/>
    <col min="7" max="7" width="16.7109375" style="39" customWidth="1"/>
    <col min="8" max="8" width="16.00390625" style="39" customWidth="1"/>
    <col min="9" max="9" width="8.140625" style="39" customWidth="1"/>
    <col min="10" max="45" width="4.7109375" style="39" customWidth="1"/>
    <col min="46" max="16384" width="9.140625" style="39" customWidth="1"/>
  </cols>
  <sheetData>
    <row r="1" spans="2:36" ht="19.5">
      <c r="B1" s="368" t="s">
        <v>33</v>
      </c>
      <c r="C1" s="368"/>
      <c r="D1" s="368"/>
      <c r="E1" s="368"/>
      <c r="F1" s="34"/>
      <c r="G1" s="369" t="s">
        <v>34</v>
      </c>
      <c r="H1" s="369"/>
      <c r="I1" s="369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2:15" s="40" customFormat="1" ht="81.75" customHeight="1" thickBot="1">
      <c r="B2" s="199"/>
      <c r="C2" s="41" t="s">
        <v>50</v>
      </c>
      <c r="D2" s="200" t="s">
        <v>35</v>
      </c>
      <c r="E2" s="275" t="s">
        <v>36</v>
      </c>
      <c r="H2" s="36" t="s">
        <v>37</v>
      </c>
      <c r="I2" s="30" t="s">
        <v>36</v>
      </c>
      <c r="O2" s="43"/>
    </row>
    <row r="3" spans="2:40" ht="15">
      <c r="B3" s="201" t="s">
        <v>217</v>
      </c>
      <c r="C3" s="44">
        <v>1.48</v>
      </c>
      <c r="D3" s="202" t="s">
        <v>103</v>
      </c>
      <c r="E3" s="276">
        <v>40997</v>
      </c>
      <c r="G3" s="175" t="s">
        <v>162</v>
      </c>
      <c r="H3" s="296" t="s">
        <v>273</v>
      </c>
      <c r="I3" s="297">
        <v>41041</v>
      </c>
      <c r="AM3" s="46"/>
      <c r="AN3" s="47"/>
    </row>
    <row r="4" spans="2:40" ht="15">
      <c r="B4" s="299" t="s">
        <v>162</v>
      </c>
      <c r="C4" s="45">
        <v>1.59</v>
      </c>
      <c r="D4" s="203" t="s">
        <v>163</v>
      </c>
      <c r="E4" s="277">
        <v>41011</v>
      </c>
      <c r="G4" s="175" t="s">
        <v>228</v>
      </c>
      <c r="H4" s="296" t="s">
        <v>212</v>
      </c>
      <c r="I4" s="281">
        <v>41153</v>
      </c>
      <c r="AM4" s="46"/>
      <c r="AN4" s="47"/>
    </row>
    <row r="5" spans="2:40" ht="15.75" thickBot="1">
      <c r="B5" s="352" t="s">
        <v>251</v>
      </c>
      <c r="C5" s="48">
        <v>1.65</v>
      </c>
      <c r="D5" s="354" t="s">
        <v>258</v>
      </c>
      <c r="E5" s="278">
        <v>41181</v>
      </c>
      <c r="F5" s="49"/>
      <c r="G5" s="349" t="s">
        <v>71</v>
      </c>
      <c r="H5" s="350" t="s">
        <v>348</v>
      </c>
      <c r="I5" s="280">
        <v>41181</v>
      </c>
      <c r="J5" s="49"/>
      <c r="K5" s="49"/>
      <c r="L5" s="49"/>
      <c r="M5" s="49"/>
      <c r="AM5" s="46"/>
      <c r="AN5" s="47"/>
    </row>
    <row r="6" spans="2:40" ht="15">
      <c r="B6" s="353" t="s">
        <v>245</v>
      </c>
      <c r="C6" s="50">
        <v>2.21</v>
      </c>
      <c r="D6" s="295" t="s">
        <v>278</v>
      </c>
      <c r="E6" s="279">
        <v>41041</v>
      </c>
      <c r="AM6" s="46"/>
      <c r="AN6" s="47"/>
    </row>
    <row r="7" spans="2:40" ht="15">
      <c r="B7" s="205" t="s">
        <v>246</v>
      </c>
      <c r="C7" s="45">
        <v>2.27</v>
      </c>
      <c r="D7" s="298" t="s">
        <v>258</v>
      </c>
      <c r="E7" s="281">
        <v>41025</v>
      </c>
      <c r="AM7" s="46"/>
      <c r="AN7" s="47"/>
    </row>
    <row r="8" spans="2:40" ht="15">
      <c r="B8" s="301" t="s">
        <v>224</v>
      </c>
      <c r="C8" s="45">
        <v>2.29</v>
      </c>
      <c r="D8" s="298" t="s">
        <v>163</v>
      </c>
      <c r="E8" s="281">
        <v>41123</v>
      </c>
      <c r="AM8" s="46"/>
      <c r="AN8" s="47"/>
    </row>
    <row r="9" spans="2:40" ht="15">
      <c r="B9" s="206" t="s">
        <v>241</v>
      </c>
      <c r="C9" s="45">
        <v>2.83</v>
      </c>
      <c r="D9" s="298" t="s">
        <v>321</v>
      </c>
      <c r="E9" s="281">
        <v>41153</v>
      </c>
      <c r="AM9" s="46"/>
      <c r="AN9" s="47"/>
    </row>
    <row r="10" spans="2:40" ht="15">
      <c r="B10" s="206" t="s">
        <v>247</v>
      </c>
      <c r="C10" s="45">
        <v>3.04</v>
      </c>
      <c r="D10" s="203" t="s">
        <v>103</v>
      </c>
      <c r="E10" s="281">
        <v>41081</v>
      </c>
      <c r="F10" s="49"/>
      <c r="G10" s="49"/>
      <c r="H10" s="49"/>
      <c r="I10" s="49"/>
      <c r="J10" s="49"/>
      <c r="K10" s="49"/>
      <c r="L10" s="49"/>
      <c r="M10" s="49"/>
      <c r="AM10" s="46"/>
      <c r="AN10" s="47"/>
    </row>
    <row r="11" spans="2:40" ht="15">
      <c r="B11" s="300" t="s">
        <v>243</v>
      </c>
      <c r="C11" s="45">
        <v>3.14</v>
      </c>
      <c r="D11" s="298" t="s">
        <v>258</v>
      </c>
      <c r="E11" s="281">
        <v>41109</v>
      </c>
      <c r="AM11" s="46"/>
      <c r="AN11" s="47"/>
    </row>
    <row r="12" spans="2:40" ht="15">
      <c r="B12" s="301" t="s">
        <v>293</v>
      </c>
      <c r="C12" s="45">
        <v>3.22</v>
      </c>
      <c r="D12" s="351" t="s">
        <v>350</v>
      </c>
      <c r="E12" s="281">
        <v>41181</v>
      </c>
      <c r="AM12" s="46"/>
      <c r="AN12" s="47"/>
    </row>
    <row r="13" spans="2:40" ht="15">
      <c r="B13" s="301" t="s">
        <v>219</v>
      </c>
      <c r="C13" s="45">
        <v>3.36</v>
      </c>
      <c r="D13" s="298" t="s">
        <v>258</v>
      </c>
      <c r="E13" s="281">
        <v>41151</v>
      </c>
      <c r="AM13" s="46"/>
      <c r="AN13" s="47"/>
    </row>
    <row r="14" spans="2:40" ht="15">
      <c r="B14" s="301" t="s">
        <v>162</v>
      </c>
      <c r="C14" s="45">
        <v>3.36</v>
      </c>
      <c r="D14" s="203" t="s">
        <v>103</v>
      </c>
      <c r="E14" s="281">
        <v>41144</v>
      </c>
      <c r="AM14" s="46"/>
      <c r="AN14" s="47"/>
    </row>
    <row r="15" spans="2:40" ht="15">
      <c r="B15" s="301" t="s">
        <v>250</v>
      </c>
      <c r="C15" s="45">
        <v>3.51</v>
      </c>
      <c r="D15" s="298" t="s">
        <v>163</v>
      </c>
      <c r="E15" s="281">
        <v>41165</v>
      </c>
      <c r="AM15" s="46"/>
      <c r="AN15" s="47"/>
    </row>
    <row r="16" spans="2:40" ht="15">
      <c r="B16" s="300" t="s">
        <v>293</v>
      </c>
      <c r="C16" s="45">
        <v>3.53</v>
      </c>
      <c r="D16" s="351" t="s">
        <v>349</v>
      </c>
      <c r="E16" s="281">
        <v>41181</v>
      </c>
      <c r="AM16" s="46"/>
      <c r="AN16" s="47"/>
    </row>
    <row r="17" spans="2:40" ht="15">
      <c r="B17" s="300" t="s">
        <v>245</v>
      </c>
      <c r="C17" s="45">
        <v>3.53</v>
      </c>
      <c r="D17" s="351" t="s">
        <v>351</v>
      </c>
      <c r="E17" s="281">
        <v>41181</v>
      </c>
      <c r="AM17" s="46"/>
      <c r="AN17" s="47"/>
    </row>
    <row r="18" spans="2:40" ht="15">
      <c r="B18" s="205" t="s">
        <v>221</v>
      </c>
      <c r="C18" s="45">
        <v>3.86</v>
      </c>
      <c r="D18" s="203" t="s">
        <v>276</v>
      </c>
      <c r="E18" s="282">
        <v>41041</v>
      </c>
      <c r="AM18" s="46"/>
      <c r="AN18" s="47"/>
    </row>
    <row r="19" spans="2:40" s="49" customFormat="1" ht="15">
      <c r="B19" s="301" t="s">
        <v>162</v>
      </c>
      <c r="C19" s="45">
        <v>3.99</v>
      </c>
      <c r="D19" s="298" t="s">
        <v>258</v>
      </c>
      <c r="E19" s="281">
        <v>41158</v>
      </c>
      <c r="F19" s="39"/>
      <c r="G19" s="39"/>
      <c r="H19" s="39"/>
      <c r="I19" s="39"/>
      <c r="J19" s="39"/>
      <c r="K19" s="39"/>
      <c r="L19" s="39"/>
      <c r="M19" s="39"/>
      <c r="AM19" s="51"/>
      <c r="AN19" s="47"/>
    </row>
    <row r="20" spans="2:40" s="49" customFormat="1" ht="15">
      <c r="B20" s="301" t="s">
        <v>246</v>
      </c>
      <c r="C20" s="45">
        <v>4.08</v>
      </c>
      <c r="D20" s="298" t="s">
        <v>277</v>
      </c>
      <c r="E20" s="280">
        <v>41041</v>
      </c>
      <c r="F20" s="39"/>
      <c r="G20" s="39"/>
      <c r="H20" s="39"/>
      <c r="I20" s="39"/>
      <c r="J20" s="39"/>
      <c r="K20" s="39"/>
      <c r="L20" s="39"/>
      <c r="M20" s="39"/>
      <c r="AM20" s="51"/>
      <c r="AN20" s="47"/>
    </row>
    <row r="21" spans="2:40" s="49" customFormat="1" ht="15">
      <c r="B21" s="300" t="s">
        <v>243</v>
      </c>
      <c r="C21" s="45">
        <v>4.1</v>
      </c>
      <c r="D21" s="298" t="s">
        <v>258</v>
      </c>
      <c r="E21" s="280">
        <v>41088</v>
      </c>
      <c r="F21" s="39"/>
      <c r="G21" s="39"/>
      <c r="H21" s="39"/>
      <c r="I21" s="39"/>
      <c r="J21" s="39"/>
      <c r="K21" s="39"/>
      <c r="L21" s="39"/>
      <c r="M21" s="39"/>
      <c r="AM21" s="51"/>
      <c r="AN21" s="47"/>
    </row>
    <row r="22" spans="2:40" s="49" customFormat="1" ht="15">
      <c r="B22" s="300" t="s">
        <v>246</v>
      </c>
      <c r="C22" s="45">
        <v>4.12</v>
      </c>
      <c r="D22" s="203" t="s">
        <v>258</v>
      </c>
      <c r="E22" s="281">
        <v>41130</v>
      </c>
      <c r="F22" s="39"/>
      <c r="G22" s="39"/>
      <c r="H22" s="39"/>
      <c r="I22" s="39"/>
      <c r="J22" s="39"/>
      <c r="K22" s="39"/>
      <c r="L22" s="39"/>
      <c r="M22" s="39"/>
      <c r="AM22" s="51"/>
      <c r="AN22" s="47"/>
    </row>
    <row r="23" spans="2:5" ht="15">
      <c r="B23" s="301" t="s">
        <v>221</v>
      </c>
      <c r="C23" s="45">
        <v>4.17</v>
      </c>
      <c r="D23" s="298" t="s">
        <v>258</v>
      </c>
      <c r="E23" s="281">
        <v>41074</v>
      </c>
    </row>
    <row r="24" spans="2:5" ht="15">
      <c r="B24" s="206" t="s">
        <v>221</v>
      </c>
      <c r="C24" s="45">
        <v>4.7</v>
      </c>
      <c r="D24" s="298" t="s">
        <v>274</v>
      </c>
      <c r="E24" s="280">
        <v>41041</v>
      </c>
    </row>
    <row r="25" spans="2:5" ht="15">
      <c r="B25" s="301" t="s">
        <v>293</v>
      </c>
      <c r="C25" s="45">
        <v>5</v>
      </c>
      <c r="D25" s="298" t="s">
        <v>325</v>
      </c>
      <c r="E25" s="282">
        <v>41153</v>
      </c>
    </row>
    <row r="26" spans="2:13" ht="15">
      <c r="B26" s="302" t="s">
        <v>255</v>
      </c>
      <c r="C26" s="45">
        <v>5.02</v>
      </c>
      <c r="D26" s="298" t="s">
        <v>258</v>
      </c>
      <c r="E26" s="281">
        <v>41032</v>
      </c>
      <c r="F26" s="49"/>
      <c r="G26" s="49"/>
      <c r="H26" s="49"/>
      <c r="I26" s="49"/>
      <c r="J26" s="49"/>
      <c r="K26" s="49"/>
      <c r="L26" s="49"/>
      <c r="M26" s="49"/>
    </row>
    <row r="27" spans="2:5" ht="15">
      <c r="B27" s="300" t="s">
        <v>250</v>
      </c>
      <c r="C27" s="45">
        <v>5.02</v>
      </c>
      <c r="D27" s="298" t="s">
        <v>258</v>
      </c>
      <c r="E27" s="281">
        <v>41137</v>
      </c>
    </row>
    <row r="28" spans="2:13" ht="15">
      <c r="B28" s="300" t="s">
        <v>230</v>
      </c>
      <c r="C28" s="45">
        <v>5.49</v>
      </c>
      <c r="D28" s="203" t="s">
        <v>275</v>
      </c>
      <c r="E28" s="281">
        <v>41041</v>
      </c>
      <c r="F28" s="49"/>
      <c r="G28" s="49"/>
      <c r="H28" s="49"/>
      <c r="I28" s="49"/>
      <c r="J28" s="49"/>
      <c r="K28" s="49"/>
      <c r="L28" s="49"/>
      <c r="M28" s="49"/>
    </row>
    <row r="29" spans="2:5" ht="15">
      <c r="B29" s="302" t="s">
        <v>229</v>
      </c>
      <c r="C29" s="45">
        <v>5.86</v>
      </c>
      <c r="D29" s="298" t="s">
        <v>258</v>
      </c>
      <c r="E29" s="281">
        <v>41067</v>
      </c>
    </row>
    <row r="30" spans="2:5" ht="15">
      <c r="B30" s="300" t="s">
        <v>264</v>
      </c>
      <c r="C30" s="45">
        <v>6.27</v>
      </c>
      <c r="D30" s="351" t="s">
        <v>163</v>
      </c>
      <c r="E30" s="281">
        <v>41181</v>
      </c>
    </row>
    <row r="31" spans="2:5" ht="15">
      <c r="B31" s="301" t="s">
        <v>224</v>
      </c>
      <c r="C31" s="45">
        <v>6.3</v>
      </c>
      <c r="D31" s="298" t="s">
        <v>258</v>
      </c>
      <c r="E31" s="281">
        <v>41046</v>
      </c>
    </row>
    <row r="32" spans="2:5" ht="15">
      <c r="B32" s="206" t="s">
        <v>293</v>
      </c>
      <c r="C32" s="45">
        <v>6.31</v>
      </c>
      <c r="D32" s="298" t="s">
        <v>258</v>
      </c>
      <c r="E32" s="281">
        <v>41095</v>
      </c>
    </row>
    <row r="33" spans="2:5" ht="15">
      <c r="B33" s="301" t="s">
        <v>255</v>
      </c>
      <c r="C33" s="45">
        <v>6.52</v>
      </c>
      <c r="D33" s="203" t="s">
        <v>336</v>
      </c>
      <c r="E33" s="281">
        <v>41153</v>
      </c>
    </row>
    <row r="34" spans="2:5" ht="15">
      <c r="B34" s="206" t="s">
        <v>230</v>
      </c>
      <c r="C34" s="45">
        <v>8</v>
      </c>
      <c r="D34" s="203" t="s">
        <v>337</v>
      </c>
      <c r="E34" s="281">
        <v>41153</v>
      </c>
    </row>
    <row r="35" spans="2:5" ht="15">
      <c r="B35" s="300" t="s">
        <v>294</v>
      </c>
      <c r="C35" s="45">
        <v>9.13</v>
      </c>
      <c r="D35" s="351" t="s">
        <v>103</v>
      </c>
      <c r="E35" s="281">
        <v>41181</v>
      </c>
    </row>
    <row r="36" spans="2:5" ht="15">
      <c r="B36" s="300" t="s">
        <v>294</v>
      </c>
      <c r="C36" s="45">
        <v>10.4</v>
      </c>
      <c r="D36" s="298" t="s">
        <v>163</v>
      </c>
      <c r="E36" s="282">
        <v>41102</v>
      </c>
    </row>
    <row r="37" spans="2:5" ht="15">
      <c r="B37" s="300" t="s">
        <v>221</v>
      </c>
      <c r="C37" s="45">
        <v>10.89</v>
      </c>
      <c r="D37" s="203" t="s">
        <v>103</v>
      </c>
      <c r="E37" s="281">
        <v>41172</v>
      </c>
    </row>
    <row r="38" spans="2:5" ht="15">
      <c r="B38" s="300" t="s">
        <v>251</v>
      </c>
      <c r="C38" s="45">
        <v>11.24</v>
      </c>
      <c r="D38" s="203" t="s">
        <v>163</v>
      </c>
      <c r="E38" s="281">
        <v>41060</v>
      </c>
    </row>
    <row r="39" spans="2:5" ht="15">
      <c r="B39" s="301" t="s">
        <v>162</v>
      </c>
      <c r="C39" s="45">
        <v>14.25</v>
      </c>
      <c r="D39" s="298" t="s">
        <v>258</v>
      </c>
      <c r="E39" s="281">
        <v>41053</v>
      </c>
    </row>
    <row r="40" spans="2:5" ht="15">
      <c r="B40" s="300"/>
      <c r="C40" s="45"/>
      <c r="D40" s="204"/>
      <c r="E40" s="280"/>
    </row>
    <row r="41" spans="2:5" ht="15">
      <c r="B41" s="300"/>
      <c r="C41" s="45"/>
      <c r="D41" s="204"/>
      <c r="E41" s="280"/>
    </row>
    <row r="42" spans="2:5" ht="15">
      <c r="B42" s="300"/>
      <c r="C42" s="45"/>
      <c r="D42" s="204"/>
      <c r="E42" s="280"/>
    </row>
  </sheetData>
  <sheetProtection/>
  <mergeCells count="2">
    <mergeCell ref="B1:E1"/>
    <mergeCell ref="G1:I1"/>
  </mergeCells>
  <printOptions horizontalCentered="1" verticalCentered="1"/>
  <pageMargins left="0.4330708661417323" right="0.4330708661417323" top="0.5511811023622047" bottom="0.5511811023622047" header="0.31496062992125984" footer="0.31496062992125984"/>
  <pageSetup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9"/>
  <sheetViews>
    <sheetView showZeros="0" zoomScalePageLayoutView="0" workbookViewId="0" topLeftCell="A1">
      <selection activeCell="N15" sqref="N15"/>
    </sheetView>
  </sheetViews>
  <sheetFormatPr defaultColWidth="9.140625" defaultRowHeight="12.75"/>
  <cols>
    <col min="1" max="1" width="14.421875" style="53" bestFit="1" customWidth="1"/>
    <col min="2" max="2" width="3.7109375" style="53" customWidth="1"/>
    <col min="3" max="3" width="9.7109375" style="53" customWidth="1"/>
    <col min="4" max="4" width="10.7109375" style="95" customWidth="1"/>
    <col min="5" max="5" width="2.7109375" style="53" customWidth="1"/>
    <col min="6" max="6" width="9.7109375" style="53" customWidth="1"/>
    <col min="7" max="7" width="10.7109375" style="98" customWidth="1"/>
    <col min="8" max="8" width="2.7109375" style="53" customWidth="1"/>
    <col min="9" max="9" width="9.7109375" style="53" customWidth="1"/>
    <col min="10" max="10" width="10.7109375" style="95" customWidth="1"/>
    <col min="11" max="11" width="2.7109375" style="53" customWidth="1"/>
    <col min="12" max="12" width="9.7109375" style="53" customWidth="1"/>
    <col min="13" max="13" width="10.7109375" style="95" customWidth="1"/>
    <col min="14" max="16384" width="9.140625" style="53" customWidth="1"/>
  </cols>
  <sheetData>
    <row r="1" ht="13.5">
      <c r="O1" s="54" t="s">
        <v>38</v>
      </c>
    </row>
    <row r="2" spans="2:13" ht="13.5">
      <c r="B2" s="370" t="s">
        <v>22</v>
      </c>
      <c r="C2" s="371"/>
      <c r="D2" s="372"/>
      <c r="E2" s="55"/>
      <c r="F2" s="370" t="s">
        <v>23</v>
      </c>
      <c r="G2" s="372"/>
      <c r="H2" s="55"/>
      <c r="I2" s="370" t="s">
        <v>24</v>
      </c>
      <c r="J2" s="372"/>
      <c r="K2" s="55"/>
      <c r="L2" s="370" t="s">
        <v>39</v>
      </c>
      <c r="M2" s="372"/>
    </row>
    <row r="3" spans="2:13" ht="15" customHeight="1">
      <c r="B3" s="56">
        <v>1</v>
      </c>
      <c r="C3" s="57" t="str">
        <f>Point!B3</f>
        <v>Robin T</v>
      </c>
      <c r="D3" s="264">
        <f>Point!C3</f>
        <v>128</v>
      </c>
      <c r="E3" s="54"/>
      <c r="F3" s="97" t="str">
        <f>Money!B3</f>
        <v>Robin T</v>
      </c>
      <c r="G3" s="58">
        <f>Money!C3</f>
        <v>24330000</v>
      </c>
      <c r="H3" s="54"/>
      <c r="I3" s="57" t="str">
        <f>Puts!B3</f>
        <v>Robin T</v>
      </c>
      <c r="J3" s="106">
        <f>Puts!C3</f>
        <v>30.27777777777778</v>
      </c>
      <c r="K3" s="54"/>
      <c r="L3" s="57" t="str">
        <f>'Samlet Stilling'!O3</f>
        <v>Karsten V</v>
      </c>
      <c r="M3" s="106">
        <f>'Samlet Stilling'!P3</f>
        <v>1.48</v>
      </c>
    </row>
    <row r="4" spans="2:13" ht="15" customHeight="1">
      <c r="B4" s="56">
        <v>2</v>
      </c>
      <c r="C4" s="57" t="str">
        <f>Point!B4</f>
        <v>Jan H</v>
      </c>
      <c r="D4" s="264">
        <f>Point!C4</f>
        <v>122</v>
      </c>
      <c r="E4" s="54"/>
      <c r="F4" s="97" t="str">
        <f>Money!B4</f>
        <v>Jan H</v>
      </c>
      <c r="G4" s="58">
        <f>Money!C4</f>
        <v>24030000</v>
      </c>
      <c r="H4" s="54"/>
      <c r="I4" s="57" t="str">
        <f>Puts!B4</f>
        <v>Jan H</v>
      </c>
      <c r="J4" s="106">
        <f>Puts!C4</f>
        <v>30.72222222222222</v>
      </c>
      <c r="K4" s="54"/>
      <c r="L4" s="57" t="str">
        <f>'Samlet Stilling'!O4</f>
        <v>Steen P</v>
      </c>
      <c r="M4" s="106">
        <f>'Samlet Stilling'!P4</f>
        <v>1.59</v>
      </c>
    </row>
    <row r="5" spans="2:13" ht="15" customHeight="1" thickBot="1">
      <c r="B5" s="151">
        <v>3</v>
      </c>
      <c r="C5" s="152" t="str">
        <f>Point!B5</f>
        <v>Jesper VN</v>
      </c>
      <c r="D5" s="267">
        <f>Point!C5</f>
        <v>95</v>
      </c>
      <c r="E5" s="54"/>
      <c r="F5" s="155" t="str">
        <f>Money!B5</f>
        <v>Morten C</v>
      </c>
      <c r="G5" s="156">
        <f>Money!C5</f>
        <v>17830000</v>
      </c>
      <c r="H5" s="54"/>
      <c r="I5" s="57" t="str">
        <f>Puts!B5</f>
        <v>Jakob K</v>
      </c>
      <c r="J5" s="106">
        <f>Puts!C5</f>
        <v>31.666666666666668</v>
      </c>
      <c r="K5" s="54"/>
      <c r="L5" s="152" t="str">
        <f>'Samlet Stilling'!O5</f>
        <v>Ole M</v>
      </c>
      <c r="M5" s="158">
        <f>'Samlet Stilling'!P5</f>
        <v>1.65</v>
      </c>
    </row>
    <row r="6" spans="2:13" ht="15" customHeight="1">
      <c r="B6" s="150">
        <v>4</v>
      </c>
      <c r="C6" s="59" t="str">
        <f>Point!B6</f>
        <v>Morten C</v>
      </c>
      <c r="D6" s="266">
        <f>Point!C6</f>
        <v>91</v>
      </c>
      <c r="E6" s="54"/>
      <c r="F6" s="153" t="str">
        <f>Money!B6</f>
        <v>Jesper VN</v>
      </c>
      <c r="G6" s="154">
        <f>Money!C6</f>
        <v>17415000</v>
      </c>
      <c r="H6" s="54"/>
      <c r="I6" s="57" t="str">
        <f>Puts!B6</f>
        <v>Carsten L</v>
      </c>
      <c r="J6" s="106">
        <f>Puts!C6</f>
        <v>32.333333333333336</v>
      </c>
      <c r="K6" s="54"/>
      <c r="L6" s="59" t="str">
        <f>'Samlet Stilling'!O6</f>
        <v>Jens L</v>
      </c>
      <c r="M6" s="157">
        <f>'Samlet Stilling'!P6</f>
        <v>2.21</v>
      </c>
    </row>
    <row r="7" spans="2:13" ht="15" customHeight="1">
      <c r="B7" s="56">
        <v>5</v>
      </c>
      <c r="C7" s="57" t="str">
        <f>Point!B7</f>
        <v>Karsten V</v>
      </c>
      <c r="D7" s="264">
        <f>Point!C7</f>
        <v>87</v>
      </c>
      <c r="E7" s="54"/>
      <c r="F7" s="97" t="str">
        <f>Money!B7</f>
        <v>Karsten V</v>
      </c>
      <c r="G7" s="58">
        <f>Money!C7</f>
        <v>16070000</v>
      </c>
      <c r="H7" s="54"/>
      <c r="I7" s="57" t="str">
        <f>Puts!B7</f>
        <v>Erik P</v>
      </c>
      <c r="J7" s="106">
        <f>Puts!C7</f>
        <v>32.44444444444444</v>
      </c>
      <c r="K7" s="54"/>
      <c r="L7" s="57" t="str">
        <f>'Samlet Stilling'!O7</f>
        <v>Jesper VN</v>
      </c>
      <c r="M7" s="106">
        <f>'Samlet Stilling'!P7</f>
        <v>2.27</v>
      </c>
    </row>
    <row r="8" spans="2:13" ht="15" customHeight="1">
      <c r="B8" s="56">
        <v>6</v>
      </c>
      <c r="C8" s="57" t="str">
        <f>Point!B8</f>
        <v>Per N</v>
      </c>
      <c r="D8" s="264">
        <f>Point!C8</f>
        <v>87</v>
      </c>
      <c r="E8" s="54"/>
      <c r="F8" s="97" t="str">
        <f>Money!B8</f>
        <v>Per N</v>
      </c>
      <c r="G8" s="58">
        <f>Money!C8</f>
        <v>15695000</v>
      </c>
      <c r="H8" s="54"/>
      <c r="I8" s="57" t="str">
        <f>Puts!B8</f>
        <v>Morten C</v>
      </c>
      <c r="J8" s="106">
        <f>Puts!C8</f>
        <v>32.55555555555556</v>
      </c>
      <c r="K8" s="54"/>
      <c r="L8" s="57" t="str">
        <f>'Samlet Stilling'!O8</f>
        <v>Morten</v>
      </c>
      <c r="M8" s="106">
        <f>'Samlet Stilling'!P8</f>
        <v>2.29</v>
      </c>
    </row>
    <row r="9" spans="2:13" ht="15" customHeight="1">
      <c r="B9" s="56">
        <v>7</v>
      </c>
      <c r="C9" s="57" t="str">
        <f>Point!B9</f>
        <v>Jakob K</v>
      </c>
      <c r="D9" s="264">
        <f>Point!C9</f>
        <v>80</v>
      </c>
      <c r="E9" s="54"/>
      <c r="F9" s="97" t="str">
        <f>Money!B9</f>
        <v>Jakob K</v>
      </c>
      <c r="G9" s="58">
        <f>Money!C9</f>
        <v>15130000</v>
      </c>
      <c r="H9" s="54"/>
      <c r="I9" s="57" t="str">
        <f>Puts!B9</f>
        <v>Karsten V</v>
      </c>
      <c r="J9" s="106">
        <f>Puts!C9</f>
        <v>32.72222222222222</v>
      </c>
      <c r="K9" s="54"/>
      <c r="L9" s="57" t="str">
        <f>'Samlet Stilling'!O9</f>
        <v>Erik P</v>
      </c>
      <c r="M9" s="106">
        <f>'Samlet Stilling'!P9</f>
        <v>2.83</v>
      </c>
    </row>
    <row r="10" spans="2:13" ht="15" customHeight="1">
      <c r="B10" s="56">
        <v>8</v>
      </c>
      <c r="C10" s="57" t="str">
        <f>Point!B10</f>
        <v>Steen NP</v>
      </c>
      <c r="D10" s="264">
        <f>Point!C10</f>
        <v>77</v>
      </c>
      <c r="E10" s="54"/>
      <c r="F10" s="97" t="str">
        <f>Money!B10</f>
        <v>Steen N P</v>
      </c>
      <c r="G10" s="58">
        <f>Money!C10</f>
        <v>14980000</v>
      </c>
      <c r="H10" s="54"/>
      <c r="I10" s="57" t="str">
        <f>Puts!B10</f>
        <v>Jesper VN</v>
      </c>
      <c r="J10" s="106">
        <f>Puts!C10</f>
        <v>33.55555555555556</v>
      </c>
      <c r="K10" s="54"/>
      <c r="L10" s="57" t="str">
        <f>'Samlet Stilling'!O10</f>
        <v>John S</v>
      </c>
      <c r="M10" s="106">
        <f>'Samlet Stilling'!P10</f>
        <v>3.04</v>
      </c>
    </row>
    <row r="11" spans="2:13" ht="15" customHeight="1">
      <c r="B11" s="56">
        <v>9</v>
      </c>
      <c r="C11" s="57" t="str">
        <f>Point!B11</f>
        <v>Torben J</v>
      </c>
      <c r="D11" s="264">
        <f>Point!C11</f>
        <v>64</v>
      </c>
      <c r="E11" s="54"/>
      <c r="F11" s="97" t="str">
        <f>Money!B11</f>
        <v>Torben J</v>
      </c>
      <c r="G11" s="58">
        <f>Money!C11</f>
        <v>11250000</v>
      </c>
      <c r="H11" s="54"/>
      <c r="I11" s="57" t="str">
        <f>Puts!B11</f>
        <v>Ole M</v>
      </c>
      <c r="J11" s="106">
        <f>Puts!C11</f>
        <v>33.55555555555556</v>
      </c>
      <c r="K11" s="54"/>
      <c r="L11" s="57" t="str">
        <f>'Samlet Stilling'!O11</f>
        <v>Jakob K</v>
      </c>
      <c r="M11" s="106">
        <f>'Samlet Stilling'!P11</f>
        <v>3.14</v>
      </c>
    </row>
    <row r="12" spans="2:13" ht="15" customHeight="1">
      <c r="B12" s="56">
        <v>10</v>
      </c>
      <c r="C12" s="57" t="str">
        <f>Point!B12</f>
        <v>Børge H</v>
      </c>
      <c r="D12" s="264">
        <f>Point!C12</f>
        <v>48</v>
      </c>
      <c r="E12" s="54"/>
      <c r="F12" s="97" t="str">
        <f>Money!B12</f>
        <v>Carsten L</v>
      </c>
      <c r="G12" s="58">
        <f>Money!C12</f>
        <v>9620000</v>
      </c>
      <c r="H12" s="54"/>
      <c r="I12" s="57" t="str">
        <f>Puts!B12</f>
        <v>Børge H</v>
      </c>
      <c r="J12" s="106">
        <f>Puts!C12</f>
        <v>34.388888888888886</v>
      </c>
      <c r="K12" s="54"/>
      <c r="L12" s="370" t="s">
        <v>49</v>
      </c>
      <c r="M12" s="372"/>
    </row>
    <row r="13" spans="2:13" ht="15" customHeight="1">
      <c r="B13" s="56">
        <v>11</v>
      </c>
      <c r="C13" s="57" t="str">
        <f>Point!B13</f>
        <v>Carsten D</v>
      </c>
      <c r="D13" s="264">
        <f>Point!C13</f>
        <v>45</v>
      </c>
      <c r="E13" s="54"/>
      <c r="F13" s="97" t="str">
        <f>Money!B13</f>
        <v>Børge H</v>
      </c>
      <c r="G13" s="58">
        <f>Money!C13</f>
        <v>8845000</v>
      </c>
      <c r="H13" s="54"/>
      <c r="I13" s="57" t="str">
        <f>Puts!B13</f>
        <v>Steen NP</v>
      </c>
      <c r="J13" s="106">
        <f>Puts!C13</f>
        <v>34.55555555555556</v>
      </c>
      <c r="K13" s="54"/>
      <c r="L13" s="57" t="str">
        <f>'Samlet Stilling'!O15</f>
        <v>Steen P</v>
      </c>
      <c r="M13" s="265" t="str">
        <f>'Samlet Stilling'!P15</f>
        <v>Vejle, Rød 1</v>
      </c>
    </row>
    <row r="14" spans="2:13" ht="15" customHeight="1">
      <c r="B14" s="56">
        <v>12</v>
      </c>
      <c r="C14" s="57" t="str">
        <f>Point!B14</f>
        <v>Carsten L</v>
      </c>
      <c r="D14" s="264">
        <f>Point!C14</f>
        <v>44</v>
      </c>
      <c r="E14" s="54"/>
      <c r="F14" s="97" t="str">
        <f>Money!B14</f>
        <v>Erik P</v>
      </c>
      <c r="G14" s="58">
        <f>Money!C14</f>
        <v>8600000</v>
      </c>
      <c r="H14" s="54"/>
      <c r="I14" s="57" t="str">
        <f>Puts!B14</f>
        <v>Per N</v>
      </c>
      <c r="J14" s="106">
        <f>Puts!C14</f>
        <v>34.72222222222222</v>
      </c>
      <c r="K14" s="54"/>
      <c r="L14" s="57" t="str">
        <f>'Samlet Stilling'!O16</f>
        <v>Robin</v>
      </c>
      <c r="M14" s="265" t="str">
        <f>'Samlet Stilling'!P16</f>
        <v>Kolding</v>
      </c>
    </row>
    <row r="15" spans="2:13" ht="15" customHeight="1">
      <c r="B15" s="56">
        <v>13</v>
      </c>
      <c r="C15" s="57" t="str">
        <f>Point!B15</f>
        <v>Erik P</v>
      </c>
      <c r="D15" s="264">
        <f>Point!C15</f>
        <v>41</v>
      </c>
      <c r="E15" s="54"/>
      <c r="F15" s="97" t="str">
        <f>Money!B15</f>
        <v>Carsten D</v>
      </c>
      <c r="G15" s="58">
        <f>Money!C15</f>
        <v>7970000</v>
      </c>
      <c r="H15" s="54"/>
      <c r="I15" s="57" t="str">
        <f>Puts!B15</f>
        <v>Torben J</v>
      </c>
      <c r="J15" s="106">
        <f>Puts!C15</f>
        <v>35.22222222222222</v>
      </c>
      <c r="K15" s="54"/>
      <c r="L15" s="57" t="str">
        <f>'Samlet Stilling'!O17</f>
        <v>Carsten Lund</v>
      </c>
      <c r="M15" s="265" t="str">
        <f>'Samlet Stilling'!P17</f>
        <v>Skoven 2</v>
      </c>
    </row>
    <row r="16" spans="2:13" ht="15" customHeight="1">
      <c r="B16" s="56">
        <v>14</v>
      </c>
      <c r="C16" s="57" t="str">
        <f>Point!B16</f>
        <v>Jens L</v>
      </c>
      <c r="D16" s="264">
        <f>Point!C16</f>
        <v>38</v>
      </c>
      <c r="E16" s="54"/>
      <c r="F16" s="97" t="str">
        <f>Money!B16</f>
        <v>Jens L</v>
      </c>
      <c r="G16" s="58">
        <f>Money!C16</f>
        <v>7350000</v>
      </c>
      <c r="H16" s="54"/>
      <c r="I16" s="57" t="str">
        <f>Puts!B16</f>
        <v>Kristian P</v>
      </c>
      <c r="J16" s="106">
        <f>Puts!C16</f>
        <v>35.388888888888886</v>
      </c>
      <c r="K16" s="54"/>
      <c r="L16" s="225"/>
      <c r="M16" s="226"/>
    </row>
    <row r="17" spans="2:13" ht="15" customHeight="1">
      <c r="B17" s="56">
        <v>15</v>
      </c>
      <c r="C17" s="57" t="str">
        <f>Point!B17</f>
        <v>Bo H</v>
      </c>
      <c r="D17" s="264">
        <f>Point!C17</f>
        <v>35</v>
      </c>
      <c r="E17" s="54"/>
      <c r="F17" s="97" t="str">
        <f>Money!B17</f>
        <v>Ole M</v>
      </c>
      <c r="G17" s="58">
        <f>Money!C17</f>
        <v>7150000</v>
      </c>
      <c r="H17" s="54"/>
      <c r="I17" s="57" t="str">
        <f>Puts!B17</f>
        <v>Jens L</v>
      </c>
      <c r="J17" s="106">
        <f>Puts!C17</f>
        <v>35.833333333333336</v>
      </c>
      <c r="K17" s="54"/>
      <c r="L17" s="227"/>
      <c r="M17" s="228"/>
    </row>
    <row r="18" spans="2:13" ht="15" customHeight="1">
      <c r="B18" s="56">
        <v>16</v>
      </c>
      <c r="C18" s="57" t="str">
        <f>Point!B18</f>
        <v>Ole M</v>
      </c>
      <c r="D18" s="264">
        <f>Point!C18</f>
        <v>33</v>
      </c>
      <c r="E18" s="54"/>
      <c r="F18" s="97" t="str">
        <f>Money!B18</f>
        <v>Bo H</v>
      </c>
      <c r="G18" s="58">
        <f>Money!C18</f>
        <v>6760000</v>
      </c>
      <c r="H18" s="54"/>
      <c r="I18" s="57" t="str">
        <f>Puts!B18</f>
        <v>Hans MV</v>
      </c>
      <c r="J18" s="106">
        <f>Puts!C18</f>
        <v>36.05555555555556</v>
      </c>
      <c r="K18" s="54"/>
      <c r="L18" s="227"/>
      <c r="M18" s="228"/>
    </row>
    <row r="19" spans="2:13" ht="15" customHeight="1">
      <c r="B19" s="56">
        <v>17</v>
      </c>
      <c r="C19" s="57" t="str">
        <f>Point!B19</f>
        <v>Kristian P</v>
      </c>
      <c r="D19" s="264">
        <f>Point!C19</f>
        <v>27</v>
      </c>
      <c r="E19" s="54"/>
      <c r="F19" s="97" t="str">
        <f>Money!B19</f>
        <v>Kristian P</v>
      </c>
      <c r="G19" s="58">
        <f>Money!C19</f>
        <v>5290000</v>
      </c>
      <c r="H19" s="54"/>
      <c r="I19" s="57" t="str">
        <f>Puts!B19</f>
        <v>Carsten D</v>
      </c>
      <c r="J19" s="106">
        <f>Puts!C19</f>
        <v>36.166666666666664</v>
      </c>
      <c r="K19" s="54"/>
      <c r="L19" s="227"/>
      <c r="M19" s="228"/>
    </row>
    <row r="20" spans="2:13" ht="15" customHeight="1">
      <c r="B20" s="56">
        <v>18</v>
      </c>
      <c r="C20" s="57" t="str">
        <f>Point!B20</f>
        <v>Martin A</v>
      </c>
      <c r="D20" s="264">
        <f>Point!C20</f>
        <v>13</v>
      </c>
      <c r="E20" s="54"/>
      <c r="F20" s="97" t="str">
        <f>Money!B20</f>
        <v>John S</v>
      </c>
      <c r="G20" s="58">
        <f>Money!C20</f>
        <v>3520000</v>
      </c>
      <c r="H20" s="54"/>
      <c r="I20" s="57" t="str">
        <f>Puts!B20</f>
        <v>Finn EC</v>
      </c>
      <c r="J20" s="106">
        <f>Puts!C20</f>
        <v>36.72222222222222</v>
      </c>
      <c r="K20" s="54"/>
      <c r="L20" s="227"/>
      <c r="M20" s="228"/>
    </row>
    <row r="21" spans="2:13" ht="15" customHeight="1">
      <c r="B21" s="56">
        <v>19</v>
      </c>
      <c r="C21" s="57" t="str">
        <f>Point!B21</f>
        <v>John S</v>
      </c>
      <c r="D21" s="264">
        <f>Point!C21</f>
        <v>12</v>
      </c>
      <c r="E21" s="54"/>
      <c r="F21" s="97" t="str">
        <f>Money!B21</f>
        <v>Martin A</v>
      </c>
      <c r="G21" s="58">
        <f>Money!C21</f>
        <v>3400000</v>
      </c>
      <c r="H21" s="54"/>
      <c r="I21" s="57" t="str">
        <f>Puts!B21</f>
        <v>Henning B</v>
      </c>
      <c r="J21" s="106">
        <f>Puts!C21</f>
        <v>36.833333333333336</v>
      </c>
      <c r="K21" s="54"/>
      <c r="L21" s="227"/>
      <c r="M21" s="228"/>
    </row>
    <row r="22" spans="2:13" ht="15" customHeight="1">
      <c r="B22" s="56">
        <v>20</v>
      </c>
      <c r="C22" s="57" t="str">
        <f>Point!B22</f>
        <v>Finn EC</v>
      </c>
      <c r="D22" s="264">
        <f>Point!C22</f>
        <v>11</v>
      </c>
      <c r="E22" s="54"/>
      <c r="F22" s="97" t="str">
        <f>Money!B22</f>
        <v>Poul D A</v>
      </c>
      <c r="G22" s="58">
        <f>Money!C22</f>
        <v>2250000</v>
      </c>
      <c r="H22" s="54"/>
      <c r="I22" s="57" t="str">
        <f>Puts!B22</f>
        <v>Bo H</v>
      </c>
      <c r="J22" s="106">
        <f>Puts!C22</f>
        <v>37.333333333333336</v>
      </c>
      <c r="K22" s="54"/>
      <c r="L22" s="227"/>
      <c r="M22" s="228"/>
    </row>
    <row r="23" spans="2:13" ht="15" customHeight="1">
      <c r="B23" s="56">
        <v>21</v>
      </c>
      <c r="C23" s="57" t="str">
        <f>Point!B23</f>
        <v>Henning B</v>
      </c>
      <c r="D23" s="264">
        <f>Point!C23</f>
        <v>10</v>
      </c>
      <c r="E23" s="54"/>
      <c r="F23" s="97" t="str">
        <f>Money!B23</f>
        <v>Henning B</v>
      </c>
      <c r="G23" s="58">
        <f>Money!C23</f>
        <v>2180000</v>
      </c>
      <c r="H23" s="54"/>
      <c r="I23" s="57" t="str">
        <f>Puts!B23</f>
        <v>John S</v>
      </c>
      <c r="J23" s="106">
        <f>Puts!C23</f>
        <v>37.666666666666664</v>
      </c>
      <c r="K23" s="54"/>
      <c r="L23" s="229"/>
      <c r="M23" s="230"/>
    </row>
    <row r="24" spans="2:11" ht="15" customHeight="1">
      <c r="B24" s="56">
        <v>22</v>
      </c>
      <c r="C24" s="57" t="str">
        <f>Point!B24</f>
        <v>Poul DA</v>
      </c>
      <c r="D24" s="264">
        <f>Point!C24</f>
        <v>8</v>
      </c>
      <c r="E24" s="54"/>
      <c r="F24" s="97" t="str">
        <f>Money!B24</f>
        <v>Finn EC</v>
      </c>
      <c r="G24" s="58">
        <f>Money!C24</f>
        <v>1970000</v>
      </c>
      <c r="H24" s="54"/>
      <c r="I24" s="57" t="str">
        <f>Puts!B24</f>
        <v>Poul D A</v>
      </c>
      <c r="J24" s="106">
        <f>Puts!C24</f>
        <v>38.166666666666664</v>
      </c>
      <c r="K24" s="54"/>
    </row>
    <row r="25" spans="2:11" ht="15" customHeight="1">
      <c r="B25" s="56">
        <v>23</v>
      </c>
      <c r="C25" s="57" t="str">
        <f>Point!B25</f>
        <v>Henning V</v>
      </c>
      <c r="D25" s="264">
        <f>Point!C25</f>
        <v>8</v>
      </c>
      <c r="E25" s="54"/>
      <c r="F25" s="97" t="str">
        <f>Money!B25</f>
        <v>Hans MV</v>
      </c>
      <c r="G25" s="58">
        <f>Money!C25</f>
        <v>1870000</v>
      </c>
      <c r="H25" s="54"/>
      <c r="I25" s="57" t="str">
        <f>Puts!B25</f>
        <v>Henning V</v>
      </c>
      <c r="J25" s="106">
        <f>Puts!C25</f>
        <v>38.888888888888886</v>
      </c>
      <c r="K25" s="54"/>
    </row>
    <row r="26" spans="2:11" ht="15" customHeight="1">
      <c r="B26" s="56">
        <v>24</v>
      </c>
      <c r="C26" s="57" t="str">
        <f>Point!B26</f>
        <v>Hans MV</v>
      </c>
      <c r="D26" s="264">
        <f>Point!C26</f>
        <v>7</v>
      </c>
      <c r="E26" s="54"/>
      <c r="F26" s="97" t="str">
        <f>Money!B26</f>
        <v>Henning V</v>
      </c>
      <c r="G26" s="58">
        <f>Money!C26</f>
        <v>1850000</v>
      </c>
      <c r="H26" s="54"/>
      <c r="I26" s="57" t="str">
        <f>Puts!B26</f>
        <v>Martin A</v>
      </c>
      <c r="J26" s="106">
        <f>Puts!C26</f>
        <v>38.94444444444444</v>
      </c>
      <c r="K26" s="54"/>
    </row>
    <row r="27" spans="1:14" ht="13.5">
      <c r="A27" s="54"/>
      <c r="B27" s="54"/>
      <c r="C27" s="54"/>
      <c r="D27" s="96"/>
      <c r="E27" s="54"/>
      <c r="F27" s="54"/>
      <c r="G27" s="99"/>
      <c r="H27" s="54"/>
      <c r="I27" s="54"/>
      <c r="J27" s="96"/>
      <c r="K27" s="54"/>
      <c r="L27" s="54"/>
      <c r="M27" s="96"/>
      <c r="N27" s="54"/>
    </row>
    <row r="28" spans="1:15" ht="13.5">
      <c r="A28" s="60" t="s">
        <v>40</v>
      </c>
      <c r="B28" s="60">
        <v>3</v>
      </c>
      <c r="C28" s="60">
        <v>9</v>
      </c>
      <c r="D28" s="61">
        <v>10</v>
      </c>
      <c r="E28" s="60">
        <v>2</v>
      </c>
      <c r="F28" s="60">
        <v>9</v>
      </c>
      <c r="G28" s="100">
        <v>10</v>
      </c>
      <c r="H28" s="60">
        <v>2</v>
      </c>
      <c r="I28" s="60">
        <v>9</v>
      </c>
      <c r="J28" s="61">
        <v>10</v>
      </c>
      <c r="K28" s="60">
        <v>2</v>
      </c>
      <c r="L28" s="60">
        <v>9</v>
      </c>
      <c r="M28" s="61">
        <v>10</v>
      </c>
      <c r="N28" s="60"/>
      <c r="O28" s="60">
        <f>SUM(B28:M28)</f>
        <v>85</v>
      </c>
    </row>
    <row r="29" spans="1:15" ht="13.5">
      <c r="A29" s="60" t="s">
        <v>41</v>
      </c>
      <c r="B29" s="60">
        <f>B28*D34</f>
        <v>22.5</v>
      </c>
      <c r="C29" s="60">
        <f>C28*D34</f>
        <v>67.5</v>
      </c>
      <c r="D29" s="61">
        <f>D28*D34</f>
        <v>75</v>
      </c>
      <c r="E29" s="60">
        <f>E28*D34</f>
        <v>15</v>
      </c>
      <c r="F29" s="60">
        <f>F28*D34</f>
        <v>67.5</v>
      </c>
      <c r="G29" s="100">
        <f>G28*D34</f>
        <v>75</v>
      </c>
      <c r="H29" s="60">
        <f>H28*D34</f>
        <v>15</v>
      </c>
      <c r="I29" s="60">
        <f>I28*D34</f>
        <v>67.5</v>
      </c>
      <c r="J29" s="61">
        <f>J28*D34</f>
        <v>75</v>
      </c>
      <c r="K29" s="60">
        <f>K28*D34</f>
        <v>15</v>
      </c>
      <c r="L29" s="60">
        <f>L28*D34</f>
        <v>67.5</v>
      </c>
      <c r="M29" s="61">
        <f>M28*D34</f>
        <v>75</v>
      </c>
      <c r="N29" s="60"/>
      <c r="O29" s="60">
        <f>SUM(B29:M29)</f>
        <v>637.5</v>
      </c>
    </row>
    <row r="30" spans="1:15" ht="13.5">
      <c r="A30" s="60"/>
      <c r="B30" s="60"/>
      <c r="C30" s="60"/>
      <c r="D30" s="61"/>
      <c r="E30" s="60"/>
      <c r="F30" s="60"/>
      <c r="G30" s="100"/>
      <c r="H30" s="60"/>
      <c r="I30" s="60"/>
      <c r="J30" s="61"/>
      <c r="K30" s="60"/>
      <c r="L30" s="60"/>
      <c r="M30" s="61"/>
      <c r="N30" s="60"/>
      <c r="O30" s="60"/>
    </row>
    <row r="31" spans="1:15" ht="13.5">
      <c r="A31" s="60" t="s">
        <v>42</v>
      </c>
      <c r="B31" s="373">
        <f>SUM(B29:D29)</f>
        <v>165</v>
      </c>
      <c r="C31" s="373"/>
      <c r="D31" s="373"/>
      <c r="E31" s="61"/>
      <c r="F31" s="373">
        <f>SUM(F29:G29)</f>
        <v>142.5</v>
      </c>
      <c r="G31" s="373"/>
      <c r="H31" s="60"/>
      <c r="I31" s="373">
        <f>SUM(I29:J29)</f>
        <v>142.5</v>
      </c>
      <c r="J31" s="373"/>
      <c r="K31" s="60"/>
      <c r="L31" s="373">
        <f>SUM(L29:M29)</f>
        <v>142.5</v>
      </c>
      <c r="M31" s="373"/>
      <c r="N31" s="60"/>
      <c r="O31" s="60"/>
    </row>
    <row r="32" spans="1:15" ht="13.5">
      <c r="A32" s="60"/>
      <c r="B32" s="60"/>
      <c r="C32" s="60"/>
      <c r="D32" s="61"/>
      <c r="E32" s="60"/>
      <c r="F32" s="60"/>
      <c r="G32" s="100"/>
      <c r="H32" s="60"/>
      <c r="I32" s="60"/>
      <c r="J32" s="61"/>
      <c r="K32" s="60"/>
      <c r="L32" s="60"/>
      <c r="M32" s="61"/>
      <c r="N32" s="60"/>
      <c r="O32" s="60"/>
    </row>
    <row r="33" spans="1:15" ht="13.5">
      <c r="A33" s="60"/>
      <c r="B33" s="60"/>
      <c r="C33" s="60"/>
      <c r="D33" s="61"/>
      <c r="E33" s="60"/>
      <c r="F33" s="60"/>
      <c r="G33" s="100"/>
      <c r="H33" s="60"/>
      <c r="I33" s="60"/>
      <c r="J33" s="61"/>
      <c r="K33" s="60"/>
      <c r="L33" s="60"/>
      <c r="M33" s="61"/>
      <c r="N33" s="60"/>
      <c r="O33" s="60"/>
    </row>
    <row r="34" spans="1:15" ht="13.5">
      <c r="A34" s="60" t="s">
        <v>43</v>
      </c>
      <c r="B34" s="60"/>
      <c r="C34" s="60"/>
      <c r="D34" s="61">
        <v>7.5</v>
      </c>
      <c r="E34" s="60"/>
      <c r="F34" s="60"/>
      <c r="G34" s="100"/>
      <c r="H34" s="60"/>
      <c r="I34" s="60"/>
      <c r="J34" s="61"/>
      <c r="K34" s="60"/>
      <c r="L34" s="60"/>
      <c r="M34" s="61"/>
      <c r="N34" s="60"/>
      <c r="O34" s="60"/>
    </row>
    <row r="35" spans="1:15" ht="13.5">
      <c r="A35" s="60"/>
      <c r="B35" s="60"/>
      <c r="C35" s="60"/>
      <c r="D35" s="61"/>
      <c r="E35" s="60"/>
      <c r="F35" s="60"/>
      <c r="G35" s="100"/>
      <c r="H35" s="60"/>
      <c r="I35" s="60"/>
      <c r="J35" s="61"/>
      <c r="K35" s="60"/>
      <c r="L35" s="60"/>
      <c r="M35" s="61"/>
      <c r="N35" s="60"/>
      <c r="O35" s="60"/>
    </row>
    <row r="36" spans="1:15" ht="13.5">
      <c r="A36" s="60"/>
      <c r="B36" s="60"/>
      <c r="C36" s="60"/>
      <c r="D36" s="61"/>
      <c r="E36" s="60"/>
      <c r="F36" s="60"/>
      <c r="G36" s="100"/>
      <c r="H36" s="60"/>
      <c r="I36" s="60"/>
      <c r="J36" s="61"/>
      <c r="K36" s="60"/>
      <c r="L36" s="60"/>
      <c r="M36" s="61"/>
      <c r="N36" s="60"/>
      <c r="O36" s="60"/>
    </row>
    <row r="37" spans="1:14" ht="13.5">
      <c r="A37" s="54"/>
      <c r="B37" s="54"/>
      <c r="C37" s="54"/>
      <c r="D37" s="96"/>
      <c r="E37" s="54"/>
      <c r="F37" s="54"/>
      <c r="G37" s="99"/>
      <c r="H37" s="54"/>
      <c r="I37" s="54"/>
      <c r="J37" s="96"/>
      <c r="K37" s="54"/>
      <c r="L37" s="54"/>
      <c r="M37" s="96"/>
      <c r="N37" s="54"/>
    </row>
    <row r="38" spans="1:14" ht="13.5">
      <c r="A38" s="54"/>
      <c r="B38" s="54"/>
      <c r="C38" s="54"/>
      <c r="D38" s="96"/>
      <c r="E38" s="54"/>
      <c r="F38" s="54"/>
      <c r="G38" s="99"/>
      <c r="H38" s="54"/>
      <c r="I38" s="54"/>
      <c r="J38" s="96"/>
      <c r="K38" s="54"/>
      <c r="L38" s="54"/>
      <c r="M38" s="96"/>
      <c r="N38" s="54"/>
    </row>
    <row r="39" spans="1:14" ht="13.5">
      <c r="A39" s="54"/>
      <c r="B39" s="54"/>
      <c r="C39" s="54"/>
      <c r="D39" s="96"/>
      <c r="E39" s="54"/>
      <c r="F39" s="54"/>
      <c r="G39" s="99"/>
      <c r="H39" s="54"/>
      <c r="I39" s="54"/>
      <c r="J39" s="96"/>
      <c r="K39" s="54"/>
      <c r="L39" s="54"/>
      <c r="M39" s="96"/>
      <c r="N39" s="54"/>
    </row>
  </sheetData>
  <sheetProtection/>
  <mergeCells count="9">
    <mergeCell ref="B2:D2"/>
    <mergeCell ref="F2:G2"/>
    <mergeCell ref="I2:J2"/>
    <mergeCell ref="L2:M2"/>
    <mergeCell ref="B31:D31"/>
    <mergeCell ref="F31:G31"/>
    <mergeCell ref="I31:J31"/>
    <mergeCell ref="L31:M31"/>
    <mergeCell ref="L12:M12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8"/>
  <sheetViews>
    <sheetView zoomScale="80" zoomScaleNormal="80" zoomScalePageLayoutView="0" workbookViewId="0" topLeftCell="A1">
      <selection activeCell="M17" sqref="M17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7.421875" style="9" bestFit="1" customWidth="1"/>
    <col min="5" max="5" width="8.140625" style="9" customWidth="1"/>
    <col min="6" max="6" width="10.140625" style="9" customWidth="1"/>
    <col min="7" max="7" width="9.140625" style="9" customWidth="1"/>
    <col min="8" max="8" width="13.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" width="11.140625" style="8" bestFit="1" customWidth="1"/>
    <col min="17" max="17" width="12.8515625" style="8" customWidth="1"/>
    <col min="18" max="16384" width="9.140625" style="8" customWidth="1"/>
  </cols>
  <sheetData>
    <row r="1" spans="2:14" s="4" customFormat="1" ht="43.5" customHeight="1">
      <c r="B1" s="374" t="s">
        <v>101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2:17" s="4" customFormat="1" ht="29.25" customHeight="1">
      <c r="B2" s="375" t="s">
        <v>133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P2" s="339" t="s">
        <v>335</v>
      </c>
      <c r="Q2" s="339" t="s">
        <v>334</v>
      </c>
    </row>
    <row r="3" spans="1:17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52</v>
      </c>
      <c r="F3" s="63" t="s">
        <v>6</v>
      </c>
      <c r="G3" s="64" t="s">
        <v>5</v>
      </c>
      <c r="H3" s="65" t="s">
        <v>51</v>
      </c>
      <c r="I3" s="66"/>
      <c r="J3" s="138" t="s">
        <v>6</v>
      </c>
      <c r="K3" s="134"/>
      <c r="L3" s="135"/>
      <c r="M3" s="136" t="s">
        <v>5</v>
      </c>
      <c r="N3" s="137" t="s">
        <v>4</v>
      </c>
      <c r="P3" s="340">
        <v>27</v>
      </c>
      <c r="Q3" s="338" t="s">
        <v>99</v>
      </c>
    </row>
    <row r="4" spans="1:17" s="73" customFormat="1" ht="18" customHeight="1">
      <c r="A4" s="120" t="s">
        <v>119</v>
      </c>
      <c r="B4" s="160">
        <v>11.2</v>
      </c>
      <c r="C4" s="74">
        <v>52</v>
      </c>
      <c r="D4" s="74">
        <v>33</v>
      </c>
      <c r="E4" s="70"/>
      <c r="F4" s="71">
        <v>1</v>
      </c>
      <c r="G4" s="68">
        <v>10</v>
      </c>
      <c r="H4" s="72">
        <f>N4+I4</f>
        <v>2550000</v>
      </c>
      <c r="I4" s="85">
        <f aca="true" t="shared" si="0" ref="I4:I11">IF(E4&gt;0,$N$13,0)+IF(C4&gt;0,50000,0)+IF(C12&lt;0,50000,0)</f>
        <v>50000</v>
      </c>
      <c r="J4" s="87" t="s">
        <v>8</v>
      </c>
      <c r="K4" s="88"/>
      <c r="L4" s="89"/>
      <c r="M4" s="78">
        <v>10</v>
      </c>
      <c r="N4" s="72">
        <f>N12*25%</f>
        <v>2500000</v>
      </c>
      <c r="P4" s="69">
        <v>45</v>
      </c>
      <c r="Q4" s="338">
        <f>ROUND(P4*18/P3,0)</f>
        <v>30</v>
      </c>
    </row>
    <row r="5" spans="1:17" s="73" customFormat="1" ht="18" customHeight="1">
      <c r="A5" s="120" t="s">
        <v>58</v>
      </c>
      <c r="B5" s="160">
        <v>7.1</v>
      </c>
      <c r="C5" s="74">
        <v>50</v>
      </c>
      <c r="D5" s="69">
        <v>30</v>
      </c>
      <c r="E5" s="70" t="s">
        <v>344</v>
      </c>
      <c r="F5" s="71">
        <v>2</v>
      </c>
      <c r="G5" s="71">
        <v>8</v>
      </c>
      <c r="H5" s="72">
        <f>N5+I5+600000</f>
        <v>3250000</v>
      </c>
      <c r="I5" s="85">
        <f t="shared" si="0"/>
        <v>650000</v>
      </c>
      <c r="J5" s="90" t="s">
        <v>9</v>
      </c>
      <c r="K5" s="91"/>
      <c r="L5" s="92"/>
      <c r="M5" s="75">
        <v>8</v>
      </c>
      <c r="N5" s="72">
        <f>N12*20%</f>
        <v>2000000</v>
      </c>
      <c r="P5" s="69">
        <v>48</v>
      </c>
      <c r="Q5" s="338">
        <f>ROUND(P5*18/P3,0)</f>
        <v>32</v>
      </c>
    </row>
    <row r="6" spans="1:17" s="73" customFormat="1" ht="18" customHeight="1">
      <c r="A6" s="120" t="s">
        <v>109</v>
      </c>
      <c r="B6" s="160">
        <v>14.3</v>
      </c>
      <c r="C6" s="71">
        <v>48</v>
      </c>
      <c r="D6" s="69">
        <v>32</v>
      </c>
      <c r="E6" s="70" t="s">
        <v>343</v>
      </c>
      <c r="F6" s="76">
        <v>3</v>
      </c>
      <c r="G6" s="76">
        <v>6</v>
      </c>
      <c r="H6" s="72">
        <f aca="true" t="shared" si="1" ref="H6:H11">N6+I6</f>
        <v>2150000</v>
      </c>
      <c r="I6" s="85">
        <f t="shared" si="0"/>
        <v>650000</v>
      </c>
      <c r="J6" s="90" t="s">
        <v>10</v>
      </c>
      <c r="K6" s="91"/>
      <c r="L6" s="92"/>
      <c r="M6" s="75">
        <v>6</v>
      </c>
      <c r="N6" s="72">
        <f>N12*15%</f>
        <v>1500000</v>
      </c>
      <c r="P6" s="69">
        <v>52</v>
      </c>
      <c r="Q6" s="338">
        <f>ROUND(P6*18/P3,0)</f>
        <v>35</v>
      </c>
    </row>
    <row r="7" spans="1:18" s="73" customFormat="1" ht="18" customHeight="1">
      <c r="A7" s="120" t="s">
        <v>60</v>
      </c>
      <c r="B7" s="160">
        <v>14.4</v>
      </c>
      <c r="C7" s="71">
        <v>47</v>
      </c>
      <c r="D7" s="69">
        <v>34</v>
      </c>
      <c r="E7" s="70" t="s">
        <v>345</v>
      </c>
      <c r="F7" s="71">
        <v>4</v>
      </c>
      <c r="G7" s="71">
        <v>5</v>
      </c>
      <c r="H7" s="72">
        <f t="shared" si="1"/>
        <v>1850000</v>
      </c>
      <c r="I7" s="85">
        <f t="shared" si="0"/>
        <v>650000</v>
      </c>
      <c r="J7" s="90" t="s">
        <v>11</v>
      </c>
      <c r="K7" s="91"/>
      <c r="L7" s="92"/>
      <c r="M7" s="75">
        <v>5</v>
      </c>
      <c r="N7" s="72">
        <f>N12*12%</f>
        <v>1200000</v>
      </c>
      <c r="O7" s="79"/>
      <c r="P7" s="69">
        <v>51</v>
      </c>
      <c r="Q7" s="338">
        <f>ROUND(P7*18/P3,0)</f>
        <v>34</v>
      </c>
      <c r="R7" s="80"/>
    </row>
    <row r="8" spans="1:17" s="73" customFormat="1" ht="18" customHeight="1">
      <c r="A8" s="120" t="s">
        <v>77</v>
      </c>
      <c r="B8" s="160">
        <v>21.8</v>
      </c>
      <c r="C8" s="76">
        <v>47</v>
      </c>
      <c r="D8" s="69">
        <v>35</v>
      </c>
      <c r="E8" s="70"/>
      <c r="F8" s="71">
        <v>5</v>
      </c>
      <c r="G8" s="71">
        <v>4</v>
      </c>
      <c r="H8" s="72">
        <f t="shared" si="1"/>
        <v>1050000</v>
      </c>
      <c r="I8" s="85">
        <f t="shared" si="0"/>
        <v>50000</v>
      </c>
      <c r="J8" s="90" t="s">
        <v>12</v>
      </c>
      <c r="K8" s="91"/>
      <c r="L8" s="92"/>
      <c r="M8" s="75">
        <v>4</v>
      </c>
      <c r="N8" s="72">
        <f>N12*10%</f>
        <v>1000000</v>
      </c>
      <c r="P8" s="69">
        <v>51</v>
      </c>
      <c r="Q8" s="338">
        <f>ROUND(P8*18/P3,0)</f>
        <v>34</v>
      </c>
    </row>
    <row r="9" spans="1:17" s="73" customFormat="1" ht="18" customHeight="1">
      <c r="A9" s="120" t="s">
        <v>73</v>
      </c>
      <c r="B9" s="160">
        <v>13.6</v>
      </c>
      <c r="C9" s="74">
        <v>45</v>
      </c>
      <c r="D9" s="69">
        <v>34</v>
      </c>
      <c r="E9" s="70" t="s">
        <v>346</v>
      </c>
      <c r="F9" s="81">
        <v>6</v>
      </c>
      <c r="G9" s="81">
        <v>3</v>
      </c>
      <c r="H9" s="72">
        <f t="shared" si="1"/>
        <v>1450000</v>
      </c>
      <c r="I9" s="85">
        <f t="shared" si="0"/>
        <v>650000</v>
      </c>
      <c r="J9" s="90" t="s">
        <v>13</v>
      </c>
      <c r="K9" s="91"/>
      <c r="L9" s="92"/>
      <c r="M9" s="75">
        <v>3</v>
      </c>
      <c r="N9" s="72">
        <f>N12*8%</f>
        <v>800000</v>
      </c>
      <c r="P9" s="69">
        <v>53</v>
      </c>
      <c r="Q9" s="338">
        <f>ROUND(P9*18/P3,0)</f>
        <v>35</v>
      </c>
    </row>
    <row r="10" spans="1:17" s="73" customFormat="1" ht="18" customHeight="1">
      <c r="A10" s="120" t="s">
        <v>75</v>
      </c>
      <c r="B10" s="160">
        <v>16.8</v>
      </c>
      <c r="C10" s="68">
        <v>44</v>
      </c>
      <c r="D10" s="69">
        <v>35</v>
      </c>
      <c r="E10" s="174"/>
      <c r="F10" s="71">
        <v>7</v>
      </c>
      <c r="G10" s="71">
        <v>2</v>
      </c>
      <c r="H10" s="72">
        <f t="shared" si="1"/>
        <v>650000</v>
      </c>
      <c r="I10" s="85">
        <f t="shared" si="0"/>
        <v>50000</v>
      </c>
      <c r="J10" s="90" t="s">
        <v>14</v>
      </c>
      <c r="K10" s="91"/>
      <c r="L10" s="92"/>
      <c r="M10" s="75">
        <v>2</v>
      </c>
      <c r="N10" s="72">
        <f>N12*6%</f>
        <v>600000</v>
      </c>
      <c r="P10" s="69">
        <v>58</v>
      </c>
      <c r="Q10" s="338">
        <f>ROUND(P10*18/P3,0)</f>
        <v>39</v>
      </c>
    </row>
    <row r="11" spans="1:17" s="73" customFormat="1" ht="18" customHeight="1">
      <c r="A11" s="120" t="s">
        <v>115</v>
      </c>
      <c r="B11" s="160">
        <v>14.7</v>
      </c>
      <c r="C11" s="71">
        <v>43</v>
      </c>
      <c r="D11" s="69">
        <v>35</v>
      </c>
      <c r="E11" s="174"/>
      <c r="F11" s="71">
        <v>8</v>
      </c>
      <c r="G11" s="71">
        <v>1</v>
      </c>
      <c r="H11" s="72">
        <f t="shared" si="1"/>
        <v>450000</v>
      </c>
      <c r="I11" s="85">
        <f t="shared" si="0"/>
        <v>50000</v>
      </c>
      <c r="J11" s="90" t="s">
        <v>15</v>
      </c>
      <c r="K11" s="91"/>
      <c r="L11" s="92"/>
      <c r="M11" s="75">
        <v>1</v>
      </c>
      <c r="N11" s="72">
        <f>N12*4%</f>
        <v>400000</v>
      </c>
      <c r="P11" s="69">
        <v>52</v>
      </c>
      <c r="Q11" s="338">
        <f>ROUND(P11*18/P3,0)</f>
        <v>35</v>
      </c>
    </row>
    <row r="12" spans="1:17" s="73" customFormat="1" ht="18" customHeight="1">
      <c r="A12" s="120" t="s">
        <v>110</v>
      </c>
      <c r="B12" s="160">
        <v>15.4</v>
      </c>
      <c r="C12" s="71">
        <v>43</v>
      </c>
      <c r="D12" s="69">
        <v>39</v>
      </c>
      <c r="E12" s="174"/>
      <c r="F12" s="68"/>
      <c r="G12" s="71"/>
      <c r="H12" s="72">
        <f aca="true" t="shared" si="2" ref="H12:H27">I12</f>
        <v>50000</v>
      </c>
      <c r="I12" s="85">
        <f aca="true" t="shared" si="3" ref="I12:I27">IF(E12&gt;0,$N$13,0)+IF(C12&gt;0,50000,0)+IF(C12&lt;0,50000,0)</f>
        <v>50000</v>
      </c>
      <c r="J12" s="93" t="s">
        <v>3</v>
      </c>
      <c r="K12" s="91"/>
      <c r="L12" s="92"/>
      <c r="M12" s="75"/>
      <c r="N12" s="82">
        <v>10000000</v>
      </c>
      <c r="P12" s="69">
        <v>50</v>
      </c>
      <c r="Q12" s="338">
        <f>ROUND(P12*18/P3,0)</f>
        <v>33</v>
      </c>
    </row>
    <row r="13" spans="1:17" s="73" customFormat="1" ht="18" customHeight="1">
      <c r="A13" s="120" t="s">
        <v>326</v>
      </c>
      <c r="B13" s="160">
        <v>15.2</v>
      </c>
      <c r="C13" s="71">
        <v>42</v>
      </c>
      <c r="D13" s="69">
        <v>33</v>
      </c>
      <c r="E13" s="70"/>
      <c r="F13" s="71"/>
      <c r="G13" s="71"/>
      <c r="H13" s="72">
        <f t="shared" si="2"/>
        <v>50000</v>
      </c>
      <c r="I13" s="85">
        <f t="shared" si="3"/>
        <v>50000</v>
      </c>
      <c r="J13" s="122" t="s">
        <v>62</v>
      </c>
      <c r="K13" s="123"/>
      <c r="L13" s="124"/>
      <c r="M13" s="125">
        <v>1</v>
      </c>
      <c r="N13" s="126">
        <f>N10</f>
        <v>600000</v>
      </c>
      <c r="P13" s="74">
        <v>49</v>
      </c>
      <c r="Q13" s="338">
        <f>ROUND(P13*18/P3,0)</f>
        <v>33</v>
      </c>
    </row>
    <row r="14" spans="1:17" s="73" customFormat="1" ht="18" customHeight="1">
      <c r="A14" s="120" t="s">
        <v>59</v>
      </c>
      <c r="B14" s="160">
        <v>16.5</v>
      </c>
      <c r="C14" s="74">
        <v>41</v>
      </c>
      <c r="D14" s="69">
        <v>36</v>
      </c>
      <c r="E14" s="70"/>
      <c r="F14" s="71"/>
      <c r="G14" s="71"/>
      <c r="H14" s="72">
        <f t="shared" si="2"/>
        <v>50000</v>
      </c>
      <c r="I14" s="85">
        <f t="shared" si="3"/>
        <v>50000</v>
      </c>
      <c r="J14" s="131"/>
      <c r="K14" s="123"/>
      <c r="L14" s="123"/>
      <c r="M14" s="132"/>
      <c r="N14" s="133"/>
      <c r="P14" s="69">
        <v>54</v>
      </c>
      <c r="Q14" s="338">
        <f>ROUND(P14*18/P3,0)</f>
        <v>36</v>
      </c>
    </row>
    <row r="15" spans="1:17" s="73" customFormat="1" ht="18" customHeight="1">
      <c r="A15" s="120" t="s">
        <v>61</v>
      </c>
      <c r="B15" s="160">
        <v>22.1</v>
      </c>
      <c r="C15" s="71">
        <v>38</v>
      </c>
      <c r="D15" s="69">
        <v>38</v>
      </c>
      <c r="E15" s="70"/>
      <c r="F15" s="71"/>
      <c r="G15" s="71"/>
      <c r="H15" s="72">
        <f t="shared" si="2"/>
        <v>50000</v>
      </c>
      <c r="I15" s="85">
        <f t="shared" si="3"/>
        <v>50000</v>
      </c>
      <c r="J15" s="127"/>
      <c r="K15" s="128"/>
      <c r="L15" s="128"/>
      <c r="M15" s="129"/>
      <c r="N15" s="130"/>
      <c r="P15" s="69">
        <v>57</v>
      </c>
      <c r="Q15" s="338">
        <f>ROUND(P15*18/P3,0)</f>
        <v>38</v>
      </c>
    </row>
    <row r="16" spans="1:17" s="73" customFormat="1" ht="18" customHeight="1">
      <c r="A16" s="120" t="s">
        <v>111</v>
      </c>
      <c r="B16" s="160">
        <v>14.2</v>
      </c>
      <c r="C16" s="71">
        <v>37</v>
      </c>
      <c r="D16" s="69">
        <v>30</v>
      </c>
      <c r="E16" s="70" t="s">
        <v>342</v>
      </c>
      <c r="F16" s="76"/>
      <c r="G16" s="76"/>
      <c r="H16" s="72">
        <f t="shared" si="2"/>
        <v>650000</v>
      </c>
      <c r="I16" s="85">
        <f t="shared" si="3"/>
        <v>650000</v>
      </c>
      <c r="P16" s="69">
        <v>45</v>
      </c>
      <c r="Q16" s="338">
        <f>ROUND(P16*18/P3,0)</f>
        <v>30</v>
      </c>
    </row>
    <row r="17" spans="1:18" s="73" customFormat="1" ht="18" customHeight="1">
      <c r="A17" s="120" t="s">
        <v>117</v>
      </c>
      <c r="B17" s="160">
        <v>13.2</v>
      </c>
      <c r="C17" s="71">
        <v>35</v>
      </c>
      <c r="D17" s="69">
        <v>35</v>
      </c>
      <c r="E17" s="70"/>
      <c r="F17" s="76"/>
      <c r="G17" s="76"/>
      <c r="H17" s="72">
        <f t="shared" si="2"/>
        <v>50000</v>
      </c>
      <c r="I17" s="85">
        <f t="shared" si="3"/>
        <v>50000</v>
      </c>
      <c r="O17" s="79"/>
      <c r="P17" s="69">
        <v>61</v>
      </c>
      <c r="Q17" s="338">
        <f>ROUND(P17*18/P3,0)</f>
        <v>41</v>
      </c>
      <c r="R17" s="80"/>
    </row>
    <row r="18" spans="1:18" s="73" customFormat="1" ht="18" customHeight="1">
      <c r="A18" s="120" t="s">
        <v>66</v>
      </c>
      <c r="B18" s="160">
        <v>25.1</v>
      </c>
      <c r="C18" s="77">
        <v>35</v>
      </c>
      <c r="D18" s="69">
        <v>41</v>
      </c>
      <c r="E18" s="174"/>
      <c r="F18" s="71"/>
      <c r="G18" s="71"/>
      <c r="H18" s="72">
        <f t="shared" si="2"/>
        <v>50000</v>
      </c>
      <c r="I18" s="85">
        <f t="shared" si="3"/>
        <v>50000</v>
      </c>
      <c r="J18" s="8"/>
      <c r="K18" s="8"/>
      <c r="L18" s="8"/>
      <c r="M18" s="8"/>
      <c r="N18" s="8"/>
      <c r="O18" s="80"/>
      <c r="P18" s="69">
        <v>53</v>
      </c>
      <c r="Q18" s="338">
        <f>ROUND(P18*18/P3,0)</f>
        <v>35</v>
      </c>
      <c r="R18" s="80"/>
    </row>
    <row r="19" spans="1:18" s="73" customFormat="1" ht="18" customHeight="1">
      <c r="A19" s="120" t="s">
        <v>71</v>
      </c>
      <c r="B19" s="160">
        <v>6.3</v>
      </c>
      <c r="C19" s="71">
        <v>32</v>
      </c>
      <c r="D19" s="69">
        <v>35</v>
      </c>
      <c r="E19" s="174" t="s">
        <v>270</v>
      </c>
      <c r="F19" s="71"/>
      <c r="G19" s="71"/>
      <c r="H19" s="72">
        <f t="shared" si="2"/>
        <v>650000</v>
      </c>
      <c r="I19" s="85">
        <f t="shared" si="3"/>
        <v>650000</v>
      </c>
      <c r="J19" s="8"/>
      <c r="K19" s="8"/>
      <c r="L19" s="8"/>
      <c r="M19" s="8"/>
      <c r="N19" s="8"/>
      <c r="O19" s="80"/>
      <c r="P19" s="69">
        <v>53</v>
      </c>
      <c r="Q19" s="338">
        <f>ROUND(P19*18/P3,0)</f>
        <v>35</v>
      </c>
      <c r="R19" s="80"/>
    </row>
    <row r="20" spans="1:17" s="4" customFormat="1" ht="18" customHeight="1">
      <c r="A20" s="120"/>
      <c r="B20" s="160"/>
      <c r="C20" s="76"/>
      <c r="D20" s="69"/>
      <c r="E20" s="70"/>
      <c r="F20" s="76"/>
      <c r="G20" s="76"/>
      <c r="H20" s="72">
        <f t="shared" si="2"/>
        <v>0</v>
      </c>
      <c r="I20" s="85">
        <f t="shared" si="3"/>
        <v>0</v>
      </c>
      <c r="J20" s="8"/>
      <c r="K20" s="8"/>
      <c r="L20" s="8"/>
      <c r="M20" s="8"/>
      <c r="N20" s="8"/>
      <c r="Q20" s="338">
        <f>ROUND(P20*18/P3,0)</f>
        <v>0</v>
      </c>
    </row>
    <row r="21" spans="1:17" s="4" customFormat="1" ht="18" customHeight="1">
      <c r="A21" s="120"/>
      <c r="B21" s="160"/>
      <c r="C21" s="71"/>
      <c r="D21" s="69"/>
      <c r="E21" s="70"/>
      <c r="F21" s="76"/>
      <c r="G21" s="76"/>
      <c r="H21" s="72">
        <f t="shared" si="2"/>
        <v>0</v>
      </c>
      <c r="I21" s="85">
        <f t="shared" si="3"/>
        <v>0</v>
      </c>
      <c r="J21" s="8"/>
      <c r="K21" s="8"/>
      <c r="L21" s="8"/>
      <c r="M21" s="8"/>
      <c r="N21" s="8"/>
      <c r="Q21" s="338">
        <f>ROUND(P21*18/P3,0)</f>
        <v>0</v>
      </c>
    </row>
    <row r="22" spans="1:17" s="4" customFormat="1" ht="18" customHeight="1">
      <c r="A22" s="120"/>
      <c r="B22" s="160"/>
      <c r="C22" s="74"/>
      <c r="D22" s="69"/>
      <c r="E22" s="70"/>
      <c r="F22" s="76"/>
      <c r="G22" s="76"/>
      <c r="H22" s="72">
        <f t="shared" si="2"/>
        <v>0</v>
      </c>
      <c r="I22" s="85">
        <f t="shared" si="3"/>
        <v>0</v>
      </c>
      <c r="J22" s="8"/>
      <c r="K22" s="8"/>
      <c r="L22" s="8"/>
      <c r="M22" s="8"/>
      <c r="N22" s="8"/>
      <c r="Q22" s="338">
        <f>ROUND(P22*18/P3,0)</f>
        <v>0</v>
      </c>
    </row>
    <row r="23" spans="1:17" s="4" customFormat="1" ht="18" customHeight="1">
      <c r="A23" s="120"/>
      <c r="B23" s="160"/>
      <c r="C23" s="71"/>
      <c r="D23" s="69"/>
      <c r="E23" s="70"/>
      <c r="F23" s="76"/>
      <c r="G23" s="76"/>
      <c r="H23" s="72">
        <f t="shared" si="2"/>
        <v>0</v>
      </c>
      <c r="I23" s="85">
        <f t="shared" si="3"/>
        <v>0</v>
      </c>
      <c r="J23" s="8"/>
      <c r="K23" s="8"/>
      <c r="L23" s="8"/>
      <c r="M23" s="8"/>
      <c r="N23" s="8"/>
      <c r="Q23" s="338">
        <f>ROUND(P23*18/P3,0)</f>
        <v>0</v>
      </c>
    </row>
    <row r="24" spans="1:17" s="4" customFormat="1" ht="18" customHeight="1">
      <c r="A24" s="120"/>
      <c r="B24" s="160"/>
      <c r="C24" s="71"/>
      <c r="D24" s="69"/>
      <c r="E24" s="70"/>
      <c r="F24" s="76"/>
      <c r="G24" s="76"/>
      <c r="H24" s="72">
        <f t="shared" si="2"/>
        <v>0</v>
      </c>
      <c r="I24" s="85">
        <f t="shared" si="3"/>
        <v>0</v>
      </c>
      <c r="J24" s="8"/>
      <c r="K24" s="8"/>
      <c r="L24" s="8"/>
      <c r="M24" s="8"/>
      <c r="N24" s="8"/>
      <c r="Q24" s="338">
        <f>ROUND(P24*18/P3,0)</f>
        <v>0</v>
      </c>
    </row>
    <row r="25" spans="1:17" s="4" customFormat="1" ht="18" customHeight="1">
      <c r="A25" s="120"/>
      <c r="B25" s="160"/>
      <c r="C25" s="71"/>
      <c r="D25" s="69"/>
      <c r="E25" s="174"/>
      <c r="F25" s="76"/>
      <c r="G25" s="76"/>
      <c r="H25" s="72">
        <f t="shared" si="2"/>
        <v>0</v>
      </c>
      <c r="I25" s="85">
        <f t="shared" si="3"/>
        <v>0</v>
      </c>
      <c r="J25" s="8"/>
      <c r="K25" s="8"/>
      <c r="L25" s="8"/>
      <c r="M25" s="8"/>
      <c r="N25" s="8"/>
      <c r="Q25" s="338"/>
    </row>
    <row r="26" spans="1:17" s="4" customFormat="1" ht="18" customHeight="1">
      <c r="A26" s="120"/>
      <c r="B26" s="160"/>
      <c r="C26" s="71"/>
      <c r="D26" s="69"/>
      <c r="E26" s="174"/>
      <c r="F26" s="71"/>
      <c r="G26" s="71"/>
      <c r="H26" s="72">
        <f t="shared" si="2"/>
        <v>0</v>
      </c>
      <c r="I26" s="85">
        <f t="shared" si="3"/>
        <v>0</v>
      </c>
      <c r="J26" s="8"/>
      <c r="K26" s="8"/>
      <c r="L26" s="8"/>
      <c r="M26" s="8"/>
      <c r="N26" s="8"/>
      <c r="Q26" s="338"/>
    </row>
    <row r="27" spans="1:17" s="4" customFormat="1" ht="18" customHeight="1">
      <c r="A27" s="120"/>
      <c r="B27" s="160"/>
      <c r="C27" s="71"/>
      <c r="D27" s="69"/>
      <c r="E27" s="70"/>
      <c r="F27" s="71"/>
      <c r="G27" s="71"/>
      <c r="H27" s="72">
        <f t="shared" si="2"/>
        <v>0</v>
      </c>
      <c r="I27" s="85">
        <f t="shared" si="3"/>
        <v>0</v>
      </c>
      <c r="J27" s="8"/>
      <c r="K27" s="8"/>
      <c r="L27" s="8"/>
      <c r="M27" s="8"/>
      <c r="N27" s="8"/>
      <c r="Q27" s="338"/>
    </row>
    <row r="28" spans="1:9" ht="24" customHeight="1" thickBot="1">
      <c r="A28" s="1"/>
      <c r="B28" s="2"/>
      <c r="C28" s="3"/>
      <c r="D28" s="177">
        <f>SUM(D4:D27)</f>
        <v>555</v>
      </c>
      <c r="E28" s="3"/>
      <c r="F28" s="2"/>
      <c r="G28" s="178">
        <f>SUM(G4:G27)</f>
        <v>39</v>
      </c>
      <c r="H28" s="178">
        <f>SUM(H4:H27)</f>
        <v>15000000</v>
      </c>
      <c r="I28" s="86"/>
    </row>
    <row r="29" ht="18" thickTop="1"/>
  </sheetData>
  <sheetProtection/>
  <mergeCells count="2">
    <mergeCell ref="B1:N1"/>
    <mergeCell ref="B2:N2"/>
  </mergeCells>
  <printOptions horizontalCentered="1" verticalCentered="1"/>
  <pageMargins left="0.4330708661417323" right="0.4330708661417323" top="0.5511811023622047" bottom="0.5511811023622047" header="0.31496062992125984" footer="0.31496062992125984"/>
  <pageSetup orientation="landscape" paperSize="9" scale="94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25.140625" style="10" customWidth="1"/>
    <col min="2" max="2" width="7.8515625" style="9" customWidth="1"/>
    <col min="3" max="3" width="8.421875" style="11" customWidth="1"/>
    <col min="4" max="4" width="6.8515625" style="9" customWidth="1"/>
    <col min="5" max="5" width="8.140625" style="9" customWidth="1"/>
    <col min="6" max="6" width="10.140625" style="9" customWidth="1"/>
    <col min="7" max="7" width="9.140625" style="9" customWidth="1"/>
    <col min="8" max="8" width="13.421875" style="9" customWidth="1"/>
    <col min="9" max="9" width="4.8515625" style="8" customWidth="1"/>
    <col min="10" max="10" width="8.421875" style="8" customWidth="1"/>
    <col min="11" max="11" width="7.00390625" style="8" customWidth="1"/>
    <col min="12" max="12" width="7.8515625" style="8" customWidth="1"/>
    <col min="13" max="13" width="7.421875" style="8" customWidth="1"/>
    <col min="14" max="14" width="12.421875" style="8" customWidth="1"/>
    <col min="15" max="15" width="7.421875" style="8" customWidth="1"/>
    <col min="16" max="16" width="12.28125" style="8" customWidth="1"/>
    <col min="17" max="17" width="9.8515625" style="8" bestFit="1" customWidth="1"/>
    <col min="18" max="16384" width="9.140625" style="8" customWidth="1"/>
  </cols>
  <sheetData>
    <row r="1" spans="2:14" s="4" customFormat="1" ht="43.5" customHeight="1">
      <c r="B1" s="374" t="s">
        <v>100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2:17" s="4" customFormat="1" ht="29.25" customHeight="1">
      <c r="B2" s="375" t="s">
        <v>341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P2" s="339" t="s">
        <v>335</v>
      </c>
      <c r="Q2" s="339" t="s">
        <v>334</v>
      </c>
    </row>
    <row r="3" spans="1:17" s="7" customFormat="1" ht="27" customHeight="1">
      <c r="A3" s="5" t="s">
        <v>0</v>
      </c>
      <c r="B3" s="6" t="s">
        <v>1</v>
      </c>
      <c r="C3" s="6" t="s">
        <v>7</v>
      </c>
      <c r="D3" s="6" t="s">
        <v>2</v>
      </c>
      <c r="E3" s="6" t="s">
        <v>52</v>
      </c>
      <c r="F3" s="63" t="s">
        <v>6</v>
      </c>
      <c r="G3" s="64" t="s">
        <v>5</v>
      </c>
      <c r="H3" s="65" t="s">
        <v>51</v>
      </c>
      <c r="I3" s="66"/>
      <c r="J3" s="138" t="s">
        <v>6</v>
      </c>
      <c r="K3" s="134"/>
      <c r="L3" s="135"/>
      <c r="M3" s="136" t="s">
        <v>5</v>
      </c>
      <c r="N3" s="137" t="s">
        <v>4</v>
      </c>
      <c r="P3" s="340">
        <v>13</v>
      </c>
      <c r="Q3" s="338" t="s">
        <v>99</v>
      </c>
    </row>
    <row r="4" spans="1:17" s="73" customFormat="1" ht="18" customHeight="1">
      <c r="A4" s="120" t="s">
        <v>110</v>
      </c>
      <c r="B4" s="176">
        <v>15.4</v>
      </c>
      <c r="C4" s="71">
        <v>24</v>
      </c>
      <c r="D4" s="69">
        <f>Q4</f>
        <v>32</v>
      </c>
      <c r="E4" s="70"/>
      <c r="F4" s="71">
        <v>1</v>
      </c>
      <c r="G4" s="68">
        <v>10</v>
      </c>
      <c r="H4" s="72">
        <f aca="true" t="shared" si="0" ref="H4:H11">N4+I4</f>
        <v>1300000</v>
      </c>
      <c r="I4" s="85">
        <f aca="true" t="shared" si="1" ref="I4:I11">IF(E4&gt;0,$N$13,0)+IF(C4&gt;0,50000,0)+IF(C12&lt;0,50000,0)</f>
        <v>50000</v>
      </c>
      <c r="J4" s="87" t="s">
        <v>8</v>
      </c>
      <c r="K4" s="88"/>
      <c r="L4" s="89"/>
      <c r="M4" s="78">
        <v>10</v>
      </c>
      <c r="N4" s="72">
        <f>N12*25%</f>
        <v>1250000</v>
      </c>
      <c r="P4" s="337">
        <v>23</v>
      </c>
      <c r="Q4" s="338">
        <f>ROUND(P4*18/P3,0)</f>
        <v>32</v>
      </c>
    </row>
    <row r="5" spans="1:17" s="73" customFormat="1" ht="18" customHeight="1">
      <c r="A5" s="120" t="s">
        <v>60</v>
      </c>
      <c r="B5" s="176">
        <v>14.4</v>
      </c>
      <c r="C5" s="71">
        <v>23</v>
      </c>
      <c r="D5" s="69">
        <f aca="true" t="shared" si="2" ref="D5:D14">Q5</f>
        <v>35</v>
      </c>
      <c r="E5" s="70"/>
      <c r="F5" s="71">
        <v>2</v>
      </c>
      <c r="G5" s="71">
        <v>8</v>
      </c>
      <c r="H5" s="72">
        <f t="shared" si="0"/>
        <v>1050000</v>
      </c>
      <c r="I5" s="85">
        <f t="shared" si="1"/>
        <v>50000</v>
      </c>
      <c r="J5" s="90" t="s">
        <v>9</v>
      </c>
      <c r="K5" s="91"/>
      <c r="L5" s="92"/>
      <c r="M5" s="75">
        <v>8</v>
      </c>
      <c r="N5" s="72">
        <f>N12*20%</f>
        <v>1000000</v>
      </c>
      <c r="P5" s="337">
        <v>25</v>
      </c>
      <c r="Q5" s="338">
        <f>ROUND(P5*18/P3,0)</f>
        <v>35</v>
      </c>
    </row>
    <row r="6" spans="1:17" s="73" customFormat="1" ht="18" customHeight="1">
      <c r="A6" s="120" t="s">
        <v>58</v>
      </c>
      <c r="B6" s="176">
        <v>7.1</v>
      </c>
      <c r="C6" s="74">
        <v>22</v>
      </c>
      <c r="D6" s="69">
        <f t="shared" si="2"/>
        <v>29</v>
      </c>
      <c r="E6" s="70"/>
      <c r="F6" s="76">
        <v>3</v>
      </c>
      <c r="G6" s="76">
        <v>6</v>
      </c>
      <c r="H6" s="72">
        <f t="shared" si="0"/>
        <v>800000</v>
      </c>
      <c r="I6" s="85">
        <f t="shared" si="1"/>
        <v>50000</v>
      </c>
      <c r="J6" s="90" t="s">
        <v>10</v>
      </c>
      <c r="K6" s="91"/>
      <c r="L6" s="92"/>
      <c r="M6" s="75">
        <v>6</v>
      </c>
      <c r="N6" s="72">
        <f>N12*15%</f>
        <v>750000</v>
      </c>
      <c r="P6" s="337">
        <v>21</v>
      </c>
      <c r="Q6" s="338">
        <f>ROUND(P6*18/P3,0)</f>
        <v>29</v>
      </c>
    </row>
    <row r="7" spans="1:18" s="73" customFormat="1" ht="18" customHeight="1">
      <c r="A7" s="120" t="s">
        <v>77</v>
      </c>
      <c r="B7" s="176">
        <v>21.8</v>
      </c>
      <c r="C7" s="71">
        <v>22</v>
      </c>
      <c r="D7" s="69">
        <f t="shared" si="2"/>
        <v>37</v>
      </c>
      <c r="E7" s="70"/>
      <c r="F7" s="71">
        <v>4</v>
      </c>
      <c r="G7" s="71">
        <v>5</v>
      </c>
      <c r="H7" s="72">
        <f t="shared" si="0"/>
        <v>650000</v>
      </c>
      <c r="I7" s="85">
        <f t="shared" si="1"/>
        <v>50000</v>
      </c>
      <c r="J7" s="90" t="s">
        <v>11</v>
      </c>
      <c r="K7" s="91"/>
      <c r="L7" s="92"/>
      <c r="M7" s="75">
        <v>5</v>
      </c>
      <c r="N7" s="72">
        <f>N12*12%</f>
        <v>600000</v>
      </c>
      <c r="O7" s="79"/>
      <c r="P7" s="337">
        <v>27</v>
      </c>
      <c r="Q7" s="338">
        <f>ROUND(P7*18/P3,0)</f>
        <v>37</v>
      </c>
      <c r="R7" s="80"/>
    </row>
    <row r="8" spans="1:17" s="73" customFormat="1" ht="18" customHeight="1">
      <c r="A8" s="120" t="s">
        <v>76</v>
      </c>
      <c r="B8" s="176">
        <v>12.2</v>
      </c>
      <c r="C8" s="71">
        <v>20</v>
      </c>
      <c r="D8" s="69">
        <f t="shared" si="2"/>
        <v>40</v>
      </c>
      <c r="E8" s="70"/>
      <c r="F8" s="71">
        <v>5</v>
      </c>
      <c r="G8" s="71">
        <v>4</v>
      </c>
      <c r="H8" s="72">
        <f t="shared" si="0"/>
        <v>550000</v>
      </c>
      <c r="I8" s="85">
        <f t="shared" si="1"/>
        <v>50000</v>
      </c>
      <c r="J8" s="90" t="s">
        <v>12</v>
      </c>
      <c r="K8" s="91"/>
      <c r="L8" s="92"/>
      <c r="M8" s="75">
        <v>4</v>
      </c>
      <c r="N8" s="72">
        <f>N12*10%</f>
        <v>500000</v>
      </c>
      <c r="P8" s="337">
        <v>29</v>
      </c>
      <c r="Q8" s="338">
        <f>ROUND(P8*18/P3,0)</f>
        <v>40</v>
      </c>
    </row>
    <row r="9" spans="1:17" s="73" customFormat="1" ht="18" customHeight="1">
      <c r="A9" s="121" t="s">
        <v>109</v>
      </c>
      <c r="B9" s="176">
        <v>14.3</v>
      </c>
      <c r="C9" s="71">
        <v>20</v>
      </c>
      <c r="D9" s="69">
        <f t="shared" si="2"/>
        <v>33</v>
      </c>
      <c r="E9" s="174"/>
      <c r="F9" s="81">
        <v>6</v>
      </c>
      <c r="G9" s="81">
        <v>3</v>
      </c>
      <c r="H9" s="72">
        <f t="shared" si="0"/>
        <v>450000</v>
      </c>
      <c r="I9" s="85">
        <f t="shared" si="1"/>
        <v>50000</v>
      </c>
      <c r="J9" s="90" t="s">
        <v>13</v>
      </c>
      <c r="K9" s="91"/>
      <c r="L9" s="92"/>
      <c r="M9" s="75">
        <v>3</v>
      </c>
      <c r="N9" s="72">
        <f>N12*8%</f>
        <v>400000</v>
      </c>
      <c r="P9" s="337">
        <v>24</v>
      </c>
      <c r="Q9" s="338">
        <f>ROUND(P9*18/P3,0)</f>
        <v>33</v>
      </c>
    </row>
    <row r="10" spans="1:17" s="73" customFormat="1" ht="18" customHeight="1">
      <c r="A10" s="120" t="s">
        <v>59</v>
      </c>
      <c r="B10" s="176">
        <v>16.5</v>
      </c>
      <c r="C10" s="71">
        <v>20</v>
      </c>
      <c r="D10" s="69">
        <f t="shared" si="2"/>
        <v>32</v>
      </c>
      <c r="E10" s="174"/>
      <c r="F10" s="71">
        <v>7</v>
      </c>
      <c r="G10" s="71">
        <v>2</v>
      </c>
      <c r="H10" s="72">
        <f t="shared" si="0"/>
        <v>350000</v>
      </c>
      <c r="I10" s="85">
        <f t="shared" si="1"/>
        <v>50000</v>
      </c>
      <c r="J10" s="90" t="s">
        <v>14</v>
      </c>
      <c r="K10" s="91"/>
      <c r="L10" s="92"/>
      <c r="M10" s="75">
        <v>2</v>
      </c>
      <c r="N10" s="72">
        <f>N12*6%</f>
        <v>300000</v>
      </c>
      <c r="P10" s="337">
        <v>23</v>
      </c>
      <c r="Q10" s="338">
        <f>ROUND(P10*18/P3,0)</f>
        <v>32</v>
      </c>
    </row>
    <row r="11" spans="1:17" s="73" customFormat="1" ht="18" customHeight="1">
      <c r="A11" s="120" t="s">
        <v>61</v>
      </c>
      <c r="B11" s="176">
        <v>22.1</v>
      </c>
      <c r="C11" s="71">
        <v>20</v>
      </c>
      <c r="D11" s="69">
        <f t="shared" si="2"/>
        <v>33</v>
      </c>
      <c r="E11" s="174"/>
      <c r="F11" s="71">
        <v>8</v>
      </c>
      <c r="G11" s="71">
        <v>1</v>
      </c>
      <c r="H11" s="72">
        <f t="shared" si="0"/>
        <v>250000</v>
      </c>
      <c r="I11" s="85">
        <f t="shared" si="1"/>
        <v>50000</v>
      </c>
      <c r="J11" s="90" t="s">
        <v>15</v>
      </c>
      <c r="K11" s="91"/>
      <c r="L11" s="92"/>
      <c r="M11" s="75">
        <v>1</v>
      </c>
      <c r="N11" s="72">
        <f>N12*4%</f>
        <v>200000</v>
      </c>
      <c r="P11" s="337">
        <v>24</v>
      </c>
      <c r="Q11" s="338">
        <f>ROUND(P11*18/P3,0)</f>
        <v>33</v>
      </c>
    </row>
    <row r="12" spans="1:17" s="73" customFormat="1" ht="18" customHeight="1">
      <c r="A12" s="120" t="s">
        <v>71</v>
      </c>
      <c r="B12" s="176">
        <v>6.3</v>
      </c>
      <c r="C12" s="71">
        <v>18</v>
      </c>
      <c r="D12" s="69">
        <f t="shared" si="2"/>
        <v>35</v>
      </c>
      <c r="E12" s="70"/>
      <c r="F12" s="68"/>
      <c r="G12" s="71"/>
      <c r="H12" s="72">
        <f aca="true" t="shared" si="3" ref="H12:H27">I12</f>
        <v>50000</v>
      </c>
      <c r="I12" s="85">
        <f aca="true" t="shared" si="4" ref="I12:I27">IF(E12&gt;0,$N$13,0)+IF(C12&gt;0,50000,0)+IF(C12&lt;0,50000,0)</f>
        <v>50000</v>
      </c>
      <c r="J12" s="93" t="s">
        <v>3</v>
      </c>
      <c r="K12" s="91"/>
      <c r="L12" s="92"/>
      <c r="M12" s="75"/>
      <c r="N12" s="82">
        <v>5000000</v>
      </c>
      <c r="P12" s="337">
        <v>25</v>
      </c>
      <c r="Q12" s="338">
        <f>ROUND(P12*18/P3,0)</f>
        <v>35</v>
      </c>
    </row>
    <row r="13" spans="1:17" s="73" customFormat="1" ht="18" customHeight="1">
      <c r="A13" s="120" t="s">
        <v>115</v>
      </c>
      <c r="B13" s="176">
        <v>14.7</v>
      </c>
      <c r="C13" s="74">
        <v>18</v>
      </c>
      <c r="D13" s="69">
        <f t="shared" si="2"/>
        <v>33</v>
      </c>
      <c r="E13" s="70"/>
      <c r="F13" s="71"/>
      <c r="G13" s="71"/>
      <c r="H13" s="72">
        <f t="shared" si="3"/>
        <v>50000</v>
      </c>
      <c r="I13" s="85">
        <f t="shared" si="4"/>
        <v>50000</v>
      </c>
      <c r="J13" s="122" t="s">
        <v>62</v>
      </c>
      <c r="K13" s="123"/>
      <c r="L13" s="124"/>
      <c r="M13" s="125">
        <v>1</v>
      </c>
      <c r="N13" s="126">
        <f>N10</f>
        <v>300000</v>
      </c>
      <c r="P13" s="337">
        <v>24</v>
      </c>
      <c r="Q13" s="338">
        <f>ROUND(P13*18/P3,0)</f>
        <v>33</v>
      </c>
    </row>
    <row r="14" spans="1:17" s="73" customFormat="1" ht="18" customHeight="1">
      <c r="A14" s="120" t="s">
        <v>66</v>
      </c>
      <c r="B14" s="176">
        <v>25.1</v>
      </c>
      <c r="C14" s="74">
        <v>17</v>
      </c>
      <c r="D14" s="69">
        <f t="shared" si="2"/>
        <v>36</v>
      </c>
      <c r="E14" s="70"/>
      <c r="F14" s="71"/>
      <c r="G14" s="71"/>
      <c r="H14" s="72">
        <f t="shared" si="3"/>
        <v>50000</v>
      </c>
      <c r="I14" s="85">
        <f t="shared" si="4"/>
        <v>50000</v>
      </c>
      <c r="J14" s="131"/>
      <c r="K14" s="123"/>
      <c r="L14" s="123"/>
      <c r="M14" s="132"/>
      <c r="N14" s="133"/>
      <c r="P14" s="337">
        <v>26</v>
      </c>
      <c r="Q14" s="338">
        <f>ROUND(P14*18/P3,0)</f>
        <v>36</v>
      </c>
    </row>
    <row r="15" spans="1:17" s="73" customFormat="1" ht="18" customHeight="1">
      <c r="A15" s="120"/>
      <c r="B15" s="176"/>
      <c r="C15" s="77"/>
      <c r="D15" s="69"/>
      <c r="E15" s="70"/>
      <c r="F15" s="71"/>
      <c r="G15" s="71"/>
      <c r="H15" s="72">
        <f t="shared" si="3"/>
        <v>0</v>
      </c>
      <c r="I15" s="85">
        <f t="shared" si="4"/>
        <v>0</v>
      </c>
      <c r="J15" s="127"/>
      <c r="K15" s="128"/>
      <c r="L15" s="128"/>
      <c r="M15" s="129"/>
      <c r="N15" s="130"/>
      <c r="P15" s="337"/>
      <c r="Q15" s="338">
        <f>ROUND(P15*18/P3,0)</f>
        <v>0</v>
      </c>
    </row>
    <row r="16" spans="1:17" s="73" customFormat="1" ht="18" customHeight="1">
      <c r="A16" s="120"/>
      <c r="B16" s="176"/>
      <c r="C16" s="71"/>
      <c r="D16" s="69"/>
      <c r="E16" s="70"/>
      <c r="F16" s="76"/>
      <c r="G16" s="76"/>
      <c r="H16" s="72">
        <f t="shared" si="3"/>
        <v>0</v>
      </c>
      <c r="I16" s="85">
        <f t="shared" si="4"/>
        <v>0</v>
      </c>
      <c r="P16" s="337"/>
      <c r="Q16" s="338">
        <f>ROUND(P16*18/P3,0)</f>
        <v>0</v>
      </c>
    </row>
    <row r="17" spans="1:18" s="73" customFormat="1" ht="18" customHeight="1">
      <c r="A17" s="120"/>
      <c r="B17" s="176"/>
      <c r="C17" s="74"/>
      <c r="D17" s="69"/>
      <c r="E17" s="174"/>
      <c r="F17" s="76"/>
      <c r="G17" s="76"/>
      <c r="H17" s="72">
        <f t="shared" si="3"/>
        <v>0</v>
      </c>
      <c r="I17" s="85">
        <f t="shared" si="4"/>
        <v>0</v>
      </c>
      <c r="O17" s="79"/>
      <c r="P17" s="184"/>
      <c r="Q17" s="338">
        <f>ROUND(P17*18/P3,0)</f>
        <v>0</v>
      </c>
      <c r="R17" s="80"/>
    </row>
    <row r="18" spans="1:18" s="73" customFormat="1" ht="18" customHeight="1">
      <c r="A18" s="120"/>
      <c r="B18" s="176"/>
      <c r="C18" s="68"/>
      <c r="D18" s="69"/>
      <c r="E18" s="70"/>
      <c r="F18" s="71"/>
      <c r="G18" s="71"/>
      <c r="H18" s="72">
        <f t="shared" si="3"/>
        <v>0</v>
      </c>
      <c r="I18" s="85">
        <f t="shared" si="4"/>
        <v>0</v>
      </c>
      <c r="J18" s="8"/>
      <c r="K18" s="8"/>
      <c r="L18" s="8"/>
      <c r="M18" s="8"/>
      <c r="N18" s="8"/>
      <c r="O18" s="80"/>
      <c r="P18" s="184"/>
      <c r="Q18" s="338">
        <f>ROUND(P18*18/P3,0)</f>
        <v>0</v>
      </c>
      <c r="R18" s="80"/>
    </row>
    <row r="19" spans="1:18" s="73" customFormat="1" ht="18" customHeight="1">
      <c r="A19" s="120"/>
      <c r="B19" s="176"/>
      <c r="C19" s="71"/>
      <c r="D19" s="69"/>
      <c r="E19" s="174"/>
      <c r="F19" s="71"/>
      <c r="G19" s="71"/>
      <c r="H19" s="72">
        <f t="shared" si="3"/>
        <v>0</v>
      </c>
      <c r="I19" s="85">
        <f t="shared" si="4"/>
        <v>0</v>
      </c>
      <c r="J19" s="8"/>
      <c r="K19" s="8"/>
      <c r="L19" s="8"/>
      <c r="M19" s="8"/>
      <c r="N19" s="8"/>
      <c r="O19" s="80"/>
      <c r="P19" s="80"/>
      <c r="Q19" s="338">
        <f>ROUND(P19*18/P3,0)</f>
        <v>0</v>
      </c>
      <c r="R19" s="80"/>
    </row>
    <row r="20" spans="1:17" s="4" customFormat="1" ht="18" customHeight="1">
      <c r="A20" s="120"/>
      <c r="B20" s="176"/>
      <c r="C20" s="74"/>
      <c r="D20" s="69"/>
      <c r="E20" s="70"/>
      <c r="F20" s="76"/>
      <c r="G20" s="76"/>
      <c r="H20" s="72">
        <f t="shared" si="3"/>
        <v>0</v>
      </c>
      <c r="I20" s="85">
        <f t="shared" si="4"/>
        <v>0</v>
      </c>
      <c r="J20" s="8"/>
      <c r="K20" s="8"/>
      <c r="L20" s="8"/>
      <c r="M20" s="8"/>
      <c r="N20" s="8"/>
      <c r="Q20" s="338">
        <f>ROUND(P20*18/P3,0)</f>
        <v>0</v>
      </c>
    </row>
    <row r="21" spans="1:17" s="4" customFormat="1" ht="18" customHeight="1">
      <c r="A21" s="121"/>
      <c r="B21" s="176"/>
      <c r="C21" s="71"/>
      <c r="D21" s="69"/>
      <c r="E21" s="174"/>
      <c r="F21" s="76"/>
      <c r="G21" s="76"/>
      <c r="H21" s="72">
        <f t="shared" si="3"/>
        <v>0</v>
      </c>
      <c r="I21" s="85">
        <f t="shared" si="4"/>
        <v>0</v>
      </c>
      <c r="J21" s="8"/>
      <c r="K21" s="8"/>
      <c r="L21" s="8"/>
      <c r="M21" s="8"/>
      <c r="N21" s="8"/>
      <c r="Q21" s="338">
        <f>ROUND(P21*18/P3,0)</f>
        <v>0</v>
      </c>
    </row>
    <row r="22" spans="1:17" s="4" customFormat="1" ht="18" customHeight="1">
      <c r="A22" s="120"/>
      <c r="B22" s="176"/>
      <c r="C22" s="71"/>
      <c r="D22" s="69"/>
      <c r="E22" s="70"/>
      <c r="F22" s="76"/>
      <c r="G22" s="76"/>
      <c r="H22" s="72">
        <f t="shared" si="3"/>
        <v>0</v>
      </c>
      <c r="I22" s="85">
        <f t="shared" si="4"/>
        <v>0</v>
      </c>
      <c r="J22" s="8"/>
      <c r="K22" s="8"/>
      <c r="L22" s="8"/>
      <c r="M22" s="8"/>
      <c r="N22" s="8"/>
      <c r="Q22" s="338">
        <f>ROUND(P22*18/P3,0)</f>
        <v>0</v>
      </c>
    </row>
    <row r="23" spans="1:17" s="4" customFormat="1" ht="18" customHeight="1">
      <c r="A23" s="120"/>
      <c r="B23" s="176"/>
      <c r="C23" s="76"/>
      <c r="D23" s="69"/>
      <c r="E23" s="70"/>
      <c r="F23" s="76"/>
      <c r="G23" s="76"/>
      <c r="H23" s="72">
        <f t="shared" si="3"/>
        <v>0</v>
      </c>
      <c r="I23" s="85">
        <f t="shared" si="4"/>
        <v>0</v>
      </c>
      <c r="J23" s="8"/>
      <c r="K23" s="8"/>
      <c r="L23" s="8"/>
      <c r="M23" s="8"/>
      <c r="N23" s="8"/>
      <c r="Q23" s="338">
        <f>ROUND(P23*18/P3,0)</f>
        <v>0</v>
      </c>
    </row>
    <row r="24" spans="1:17" s="4" customFormat="1" ht="18" customHeight="1">
      <c r="A24" s="120"/>
      <c r="B24" s="176"/>
      <c r="C24" s="71"/>
      <c r="D24" s="69"/>
      <c r="E24" s="70"/>
      <c r="F24" s="76"/>
      <c r="G24" s="76"/>
      <c r="H24" s="72">
        <f t="shared" si="3"/>
        <v>0</v>
      </c>
      <c r="I24" s="85">
        <f t="shared" si="4"/>
        <v>0</v>
      </c>
      <c r="J24" s="8"/>
      <c r="K24" s="8"/>
      <c r="L24" s="8"/>
      <c r="M24" s="8"/>
      <c r="N24" s="8"/>
      <c r="Q24" s="338">
        <f>ROUND(P24*18/P3,0)</f>
        <v>0</v>
      </c>
    </row>
    <row r="25" spans="1:17" s="4" customFormat="1" ht="18" customHeight="1">
      <c r="A25" s="120"/>
      <c r="B25" s="176"/>
      <c r="C25" s="71"/>
      <c r="D25" s="69"/>
      <c r="E25" s="174"/>
      <c r="F25" s="76"/>
      <c r="G25" s="76"/>
      <c r="H25" s="72">
        <f t="shared" si="3"/>
        <v>0</v>
      </c>
      <c r="I25" s="85">
        <f t="shared" si="4"/>
        <v>0</v>
      </c>
      <c r="J25" s="8"/>
      <c r="K25" s="8"/>
      <c r="L25" s="8"/>
      <c r="M25" s="8"/>
      <c r="N25" s="8"/>
      <c r="Q25" s="338"/>
    </row>
    <row r="26" spans="1:17" s="4" customFormat="1" ht="18" customHeight="1">
      <c r="A26" s="120"/>
      <c r="B26" s="176"/>
      <c r="C26" s="74"/>
      <c r="D26" s="185" t="s">
        <v>98</v>
      </c>
      <c r="E26" s="174"/>
      <c r="F26" s="71"/>
      <c r="G26" s="71"/>
      <c r="H26" s="72">
        <f t="shared" si="3"/>
        <v>0</v>
      </c>
      <c r="I26" s="85">
        <f t="shared" si="4"/>
        <v>0</v>
      </c>
      <c r="J26" s="8"/>
      <c r="K26" s="8"/>
      <c r="L26" s="8"/>
      <c r="M26" s="8"/>
      <c r="N26" s="8"/>
      <c r="Q26" s="338"/>
    </row>
    <row r="27" spans="1:17" s="4" customFormat="1" ht="18" customHeight="1">
      <c r="A27" s="121"/>
      <c r="B27" s="67"/>
      <c r="C27" s="71"/>
      <c r="D27" s="69"/>
      <c r="E27" s="70"/>
      <c r="F27" s="71"/>
      <c r="G27" s="71"/>
      <c r="H27" s="72">
        <f t="shared" si="3"/>
        <v>0</v>
      </c>
      <c r="I27" s="85">
        <f t="shared" si="4"/>
        <v>0</v>
      </c>
      <c r="J27" s="8"/>
      <c r="K27" s="8"/>
      <c r="L27" s="8"/>
      <c r="M27" s="8"/>
      <c r="N27" s="8"/>
      <c r="Q27" s="338"/>
    </row>
    <row r="28" spans="1:9" ht="24" customHeight="1" thickBot="1">
      <c r="A28" s="1"/>
      <c r="B28" s="2"/>
      <c r="C28" s="3"/>
      <c r="D28" s="177">
        <f>SUM(D4:D27)</f>
        <v>375</v>
      </c>
      <c r="E28" s="3"/>
      <c r="F28" s="2"/>
      <c r="G28" s="178">
        <f>SUM(G4:G27)</f>
        <v>39</v>
      </c>
      <c r="H28" s="178">
        <f>SUM(H4:H27)</f>
        <v>5550000</v>
      </c>
      <c r="I28" s="86"/>
    </row>
    <row r="29" ht="18" thickTop="1"/>
  </sheetData>
  <sheetProtection/>
  <mergeCells count="2">
    <mergeCell ref="B1:N1"/>
    <mergeCell ref="B2:N2"/>
  </mergeCells>
  <printOptions horizontalCentered="1" verticalCentered="1"/>
  <pageMargins left="0.4330708661417323" right="0.4330708661417323" top="0.5511811023622047" bottom="0.5511811023622047" header="0.31496062992125984" footer="0.31496062992125984"/>
  <pageSetup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 skilte A/S</dc:creator>
  <cp:keywords/>
  <dc:description/>
  <cp:lastModifiedBy>Heidi Birkelev</cp:lastModifiedBy>
  <cp:lastPrinted>2012-09-28T05:57:35Z</cp:lastPrinted>
  <dcterms:created xsi:type="dcterms:W3CDTF">2006-03-17T14:01:46Z</dcterms:created>
  <dcterms:modified xsi:type="dcterms:W3CDTF">2012-10-06T09:23:08Z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