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drawings/drawing40.xml" ContentType="application/vnd.openxmlformats-officedocument.drawing+xml"/>
  <Override PartName="/xl/worksheets/sheet43.xml" ContentType="application/vnd.openxmlformats-officedocument.spreadsheetml.worksheet+xml"/>
  <Override PartName="/xl/drawings/drawing41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drawings/drawing42.xml" ContentType="application/vnd.openxmlformats-officedocument.drawing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0320" windowHeight="23060" tabRatio="500" activeTab="0"/>
  </bookViews>
  <sheets>
    <sheet name="Samlet Stilling" sheetId="1" r:id="rId1"/>
    <sheet name="Medlemmer" sheetId="2" r:id="rId2"/>
    <sheet name="Money" sheetId="3" r:id="rId3"/>
    <sheet name="Point" sheetId="4" r:id="rId4"/>
    <sheet name="Puts" sheetId="5" r:id="rId5"/>
    <sheet name="Tæt-flag" sheetId="6" r:id="rId6"/>
    <sheet name="Webm" sheetId="7" state="hidden" r:id="rId7"/>
    <sheet name="10-10" sheetId="8" r:id="rId8"/>
    <sheet name="08-10" sheetId="9" r:id="rId9"/>
    <sheet name="01-10" sheetId="10" r:id="rId10"/>
    <sheet name="24-09" sheetId="11" r:id="rId11"/>
    <sheet name="17-09" sheetId="12" r:id="rId12"/>
    <sheet name="10-09" sheetId="13" r:id="rId13"/>
    <sheet name="03-09" sheetId="14" r:id="rId14"/>
    <sheet name="29-08b" sheetId="15" r:id="rId15"/>
    <sheet name="29-08a" sheetId="16" r:id="rId16"/>
    <sheet name="27-08" sheetId="17" r:id="rId17"/>
    <sheet name="20-08" sheetId="18" r:id="rId18"/>
    <sheet name="13-08" sheetId="19" r:id="rId19"/>
    <sheet name="06-08" sheetId="20" r:id="rId20"/>
    <sheet name="30-07" sheetId="21" r:id="rId21"/>
    <sheet name="23-07" sheetId="22" r:id="rId22"/>
    <sheet name="16-07" sheetId="23" r:id="rId23"/>
    <sheet name="09-07" sheetId="24" r:id="rId24"/>
    <sheet name="02-07" sheetId="25" r:id="rId25"/>
    <sheet name="25-06" sheetId="26" r:id="rId26"/>
    <sheet name="18-06" sheetId="27" r:id="rId27"/>
    <sheet name="11-06" sheetId="28" r:id="rId28"/>
    <sheet name="04-06" sheetId="29" r:id="rId29"/>
    <sheet name="30-05b" sheetId="30" r:id="rId30"/>
    <sheet name="30-05a" sheetId="31" r:id="rId31"/>
    <sheet name="28-05" sheetId="32" r:id="rId32"/>
    <sheet name="21-05" sheetId="33" r:id="rId33"/>
    <sheet name="14-05" sheetId="34" r:id="rId34"/>
    <sheet name="07-05" sheetId="35" r:id="rId35"/>
    <sheet name="30-04" sheetId="36" r:id="rId36"/>
    <sheet name="23-04" sheetId="37" r:id="rId37"/>
    <sheet name="16-04" sheetId="38" r:id="rId38"/>
    <sheet name="09-04" sheetId="39" r:id="rId39"/>
    <sheet name="02-04" sheetId="40" r:id="rId40"/>
    <sheet name="26-03" sheetId="41" r:id="rId41"/>
    <sheet name="19-03" sheetId="42" r:id="rId42"/>
    <sheet name="12-03" sheetId="43" r:id="rId43"/>
    <sheet name="Tourplan m. sløjfer" sheetId="44" r:id="rId44"/>
    <sheet name="Tourplan" sheetId="45" state="hidden" r:id="rId45"/>
    <sheet name="Starttider" sheetId="46" r:id="rId46"/>
    <sheet name="Bødekassen" sheetId="47" r:id="rId47"/>
    <sheet name="Vindere" sheetId="48" r:id="rId48"/>
  </sheets>
  <externalReferences>
    <externalReference r:id="rId51"/>
  </externalReferences>
  <definedNames>
    <definedName name="_xlnm._FilterDatabase" localSheetId="46" hidden="1">'Bødekassen'!$B$2:$AG$2</definedName>
    <definedName name="_xlnm._FilterDatabase" localSheetId="2" hidden="1">'Money'!$A$2:$AN$2</definedName>
    <definedName name="_xlnm._FilterDatabase" localSheetId="3" hidden="1">'Point'!$B$2:$AP$2</definedName>
    <definedName name="_xlnm._FilterDatabase" localSheetId="4" hidden="1">'Puts'!$B$2:$AH$2</definedName>
    <definedName name="_xlnm._FilterDatabase" localSheetId="5" hidden="1">'Tæt-flag'!$B$2:$E$2</definedName>
    <definedName name="Excel_BuiltIn__FilterDatabase_1">'Samlet Stilling'!$D$2:$D$28</definedName>
    <definedName name="Excel_BuiltIn__FilterDatabase_10">'[1]THE FINAL'!$A$10:$G$14</definedName>
    <definedName name="Excel_BuiltIn__FilterDatabase_11">'17-09'!$A$10:$H$14</definedName>
    <definedName name="Excel_BuiltIn__FilterDatabase_12">'10-09'!$A$10:$H$14</definedName>
    <definedName name="Excel_BuiltIn__FilterDatabase_13">'29-08a'!$A$10:$H$14</definedName>
    <definedName name="Excel_BuiltIn__FilterDatabase_14">'29-08b'!$A$10:$H$14</definedName>
    <definedName name="Excel_BuiltIn__FilterDatabase_15">'03-09'!$A$10:$H$14</definedName>
    <definedName name="Excel_BuiltIn__FilterDatabase_16">'27-08'!$A$10:$H$14</definedName>
    <definedName name="Excel_BuiltIn__FilterDatabase_17">'20-08'!$A$10:$H$14</definedName>
    <definedName name="Excel_BuiltIn__FilterDatabase_18">'13-08'!$A$10:$H$14</definedName>
    <definedName name="Excel_BuiltIn__FilterDatabase_19">'06-08'!$A$10:$H$14</definedName>
    <definedName name="Excel_BuiltIn__FilterDatabase_20">'30-07'!$A$10:$H$14</definedName>
    <definedName name="Excel_BuiltIn__FilterDatabase_21">'23-07'!$A$10:$H$14</definedName>
    <definedName name="Excel_BuiltIn__FilterDatabase_22">'16-07'!$A$10:$H$14</definedName>
    <definedName name="Excel_BuiltIn__FilterDatabase_23">'09-07'!$A$10:$H$14</definedName>
    <definedName name="Excel_BuiltIn__FilterDatabase_24">'02-07'!$A$10:$H$14</definedName>
    <definedName name="Excel_BuiltIn__FilterDatabase_25">'25-06'!$A$10:$H$14</definedName>
    <definedName name="Excel_BuiltIn__FilterDatabase_26">'18-06'!$A$10:$H$14</definedName>
    <definedName name="Excel_BuiltIn__FilterDatabase_27">'11-06'!$A$10:$H$14</definedName>
    <definedName name="Excel_BuiltIn__FilterDatabase_28">'04-06'!$A$10:$H$14</definedName>
    <definedName name="Excel_BuiltIn__FilterDatabase_29">'28-05'!$A$10:$H$14</definedName>
    <definedName name="Excel_BuiltIn__FilterDatabase_3">'Money'!$C$2:$C$21</definedName>
    <definedName name="Excel_BuiltIn__FilterDatabase_30">'30-05b'!$A$10:$H$14</definedName>
    <definedName name="Excel_BuiltIn__FilterDatabase_31">'30-05a'!$A$10:$H$14</definedName>
    <definedName name="Excel_BuiltIn__FilterDatabase_32">'21-05'!$A$10:$H$14</definedName>
    <definedName name="Excel_BuiltIn__FilterDatabase_33">'14-05'!$A$10:$H$14</definedName>
    <definedName name="Excel_BuiltIn__FilterDatabase_34">'07-05'!$A$10:$H$14</definedName>
    <definedName name="Excel_BuiltIn__FilterDatabase_35">'30-04'!$A$10:$H$14</definedName>
    <definedName name="Excel_BuiltIn__FilterDatabase_36">'23-04'!$A$10:$H$14</definedName>
    <definedName name="Excel_BuiltIn__FilterDatabase_37">'16-04'!$A$10:$H$14</definedName>
    <definedName name="Excel_BuiltIn__FilterDatabase_38">'09-04'!$A$10:$H$14</definedName>
    <definedName name="Excel_BuiltIn__FilterDatabase_39">'02-04'!$A$10:$H$14</definedName>
    <definedName name="Excel_BuiltIn__FilterDatabase_4">'Point'!$C$2:$C$26</definedName>
    <definedName name="Excel_BuiltIn__FilterDatabase_40">'26-03'!$A$10:$H$14</definedName>
    <definedName name="Excel_BuiltIn__FilterDatabase_41">'19-03'!$A$10:$H$14</definedName>
    <definedName name="Excel_BuiltIn__FilterDatabase_42">'12-03'!$A$10:$H$14</definedName>
    <definedName name="Excel_BuiltIn__FilterDatabase_5" localSheetId="46">'Bødekassen'!$B$3:$AG$26</definedName>
    <definedName name="Excel_BuiltIn__FilterDatabase_5">'Puts'!$B$3:$AI$26</definedName>
    <definedName name="Excel_BuiltIn__FilterDatabase_6">'Tæt-flag'!$C$2:$C$32</definedName>
    <definedName name="Excel_BuiltIn__FilterDatabase_8" localSheetId="8">'08-10'!$A$10:$H$14</definedName>
    <definedName name="Excel_BuiltIn__FilterDatabase_8" localSheetId="7">'10-10'!$A$10:$H$14</definedName>
    <definedName name="Excel_BuiltIn__FilterDatabase_8">'01-10'!$A$10:$H$14</definedName>
    <definedName name="Excel_BuiltIn__FilterDatabase_9">'24-09'!$A$10:$H$14</definedName>
    <definedName name="_xlnm.Print_Area" localSheetId="39">'02-04'!$A$1:$O$28</definedName>
    <definedName name="_xlnm.Print_Area" localSheetId="24">'02-07'!$A$1:$N$28</definedName>
    <definedName name="_xlnm.Print_Area" localSheetId="13">'03-09'!$A$1:$O$28</definedName>
    <definedName name="_xlnm.Print_Area" localSheetId="28">'04-06'!$A$1:$O$28</definedName>
    <definedName name="_xlnm.Print_Area" localSheetId="19">'06-08'!$A$1:$O$28</definedName>
    <definedName name="_xlnm.Print_Area" localSheetId="34">'07-05'!$A$1:$O$28</definedName>
    <definedName name="_xlnm.Print_Area" localSheetId="38">'09-04'!$A$1:$O$28</definedName>
    <definedName name="_xlnm.Print_Area" localSheetId="23">'09-07'!$A$1:$O$28</definedName>
    <definedName name="_xlnm.Print_Area" localSheetId="12">'10-09'!$A$1:$O$28</definedName>
    <definedName name="_xlnm.Print_Area" localSheetId="27">'11-06'!$A$1:$O$28</definedName>
    <definedName name="_xlnm.Print_Area" localSheetId="42">'12-03'!$A$1:$O$28</definedName>
    <definedName name="_xlnm.Print_Area" localSheetId="18">'13-08'!$A$1:$O$28</definedName>
    <definedName name="_xlnm.Print_Area" localSheetId="33">'14-05'!$A$1:$O$28</definedName>
    <definedName name="_xlnm.Print_Area" localSheetId="37">'16-04'!$A$1:$O$28</definedName>
    <definedName name="_xlnm.Print_Area" localSheetId="22">'16-07'!$A$1:$O$28</definedName>
    <definedName name="_xlnm.Print_Area" localSheetId="11">'17-09'!$A$1:$O$28</definedName>
    <definedName name="_xlnm.Print_Area" localSheetId="26">'18-06'!$A$1:$O$28</definedName>
    <definedName name="_xlnm.Print_Area" localSheetId="41">'19-03'!$A$1:$O$28</definedName>
    <definedName name="_xlnm.Print_Area" localSheetId="17">'20-08'!$A$1:$O$28</definedName>
    <definedName name="_xlnm.Print_Area" localSheetId="32">'21-05'!$A$1:$O$28</definedName>
    <definedName name="_xlnm.Print_Area" localSheetId="36">'23-04'!$A$1:$O$28</definedName>
    <definedName name="_xlnm.Print_Area" localSheetId="21">'23-07'!$A$1:$O$28</definedName>
    <definedName name="_xlnm.Print_Area" localSheetId="25">'25-06'!$A$1:$O$28</definedName>
    <definedName name="_xlnm.Print_Area" localSheetId="40">'26-03'!$A$1:$O$28</definedName>
    <definedName name="_xlnm.Print_Area" localSheetId="16">'27-08'!$A$1:$O$28</definedName>
    <definedName name="_xlnm.Print_Area" localSheetId="31">'28-05'!$A$1:$O$28</definedName>
    <definedName name="_xlnm.Print_Area" localSheetId="15">'29-08a'!$A$1:$O$28</definedName>
    <definedName name="_xlnm.Print_Area" localSheetId="14">'29-08b'!$A$1:$O$28</definedName>
    <definedName name="_xlnm.Print_Area" localSheetId="35">'30-04'!$A$1:$O$28</definedName>
    <definedName name="_xlnm.Print_Area" localSheetId="30">'30-05a'!$A$1:$O$28</definedName>
    <definedName name="_xlnm.Print_Area" localSheetId="29">'30-05b'!$A$1:$O$28</definedName>
    <definedName name="_xlnm.Print_Area" localSheetId="20">'30-07'!$A$1:$O$28</definedName>
    <definedName name="_xlnm.Print_Area" localSheetId="46">'Bødekassen'!$A$1:$AG$28</definedName>
    <definedName name="_xlnm.Print_Area" localSheetId="2">'Money'!$B$1:$AN$28</definedName>
    <definedName name="_xlnm.Print_Area" localSheetId="3">'Point'!$B$1:$AP$29</definedName>
    <definedName name="_xlnm.Print_Area" localSheetId="4">'Puts'!$A$1:$AK$31</definedName>
    <definedName name="_xlnm.Print_Area" localSheetId="5">'Tæt-flag'!$B$1:$I$28</definedName>
  </definedNames>
  <calcPr fullCalcOnLoad="1"/>
</workbook>
</file>

<file path=xl/sharedStrings.xml><?xml version="1.0" encoding="utf-8"?>
<sst xmlns="http://schemas.openxmlformats.org/spreadsheetml/2006/main" count="2649" uniqueCount="336">
  <si>
    <t>POINT</t>
  </si>
  <si>
    <t>MONEY</t>
  </si>
  <si>
    <t>PUTS</t>
  </si>
  <si>
    <t>NÆRMEST FLAGET</t>
  </si>
  <si>
    <t>LÆNGSTE DRIVE</t>
  </si>
  <si>
    <t>Inngolf Banerekorder:</t>
  </si>
  <si>
    <t>Fornavn</t>
  </si>
  <si>
    <t>Handicap</t>
  </si>
  <si>
    <t>Bo Hansen</t>
  </si>
  <si>
    <t>Bo H</t>
  </si>
  <si>
    <t>Børge Heiberg</t>
  </si>
  <si>
    <t>Børge H</t>
  </si>
  <si>
    <t>Carsten Dahl</t>
  </si>
  <si>
    <t>Carsten D</t>
  </si>
  <si>
    <t>Carsten Lund</t>
  </si>
  <si>
    <t>Carsten L</t>
  </si>
  <si>
    <t>Claus Jessen</t>
  </si>
  <si>
    <t>Claus J</t>
  </si>
  <si>
    <t>Erik M. Pedersen</t>
  </si>
  <si>
    <t>Erik P</t>
  </si>
  <si>
    <t>Finn E. Christensen</t>
  </si>
  <si>
    <t>Finn EC</t>
  </si>
  <si>
    <t>Hans Martin Vestergaard</t>
  </si>
  <si>
    <t>Hans MV</t>
  </si>
  <si>
    <t>Henning B. Nielsen</t>
  </si>
  <si>
    <t>Henning B</t>
  </si>
  <si>
    <t>Henning Vestergaard</t>
  </si>
  <si>
    <t>Henning V</t>
  </si>
  <si>
    <t>Jakob Kristensen</t>
  </si>
  <si>
    <t>Jakob K</t>
  </si>
  <si>
    <t>Jan Hegner</t>
  </si>
  <si>
    <t>Jan H</t>
  </si>
  <si>
    <t>Jens Laigaard</t>
  </si>
  <si>
    <t>Jens L</t>
  </si>
  <si>
    <t>Jesper Vohs Nielsen</t>
  </si>
  <si>
    <t>Jesper VN</t>
  </si>
  <si>
    <t>John Sørensen</t>
  </si>
  <si>
    <t>John S</t>
  </si>
  <si>
    <t>Karsten Valeur</t>
  </si>
  <si>
    <t>Karsten V</t>
  </si>
  <si>
    <t>Martin Andersen</t>
  </si>
  <si>
    <t>Martin A</t>
  </si>
  <si>
    <t>Morten Clausen</t>
  </si>
  <si>
    <t>Morten C</t>
  </si>
  <si>
    <t>Ole Malmskov</t>
  </si>
  <si>
    <t>Ole M</t>
  </si>
  <si>
    <t>Per Nørsten</t>
  </si>
  <si>
    <t>Per N</t>
  </si>
  <si>
    <t>Robin Thybo</t>
  </si>
  <si>
    <t>Robin T</t>
  </si>
  <si>
    <t>Thorkild Jensen</t>
  </si>
  <si>
    <t>Thorkild J</t>
  </si>
  <si>
    <t>Torben Jacobsen</t>
  </si>
  <si>
    <t>Torben J</t>
  </si>
  <si>
    <t>Money List</t>
  </si>
  <si>
    <t>Samlet</t>
  </si>
  <si>
    <t xml:space="preserve">Runder spillet                     </t>
  </si>
  <si>
    <t>Kontrol:</t>
  </si>
  <si>
    <t xml:space="preserve"> Inngolf Ranking</t>
  </si>
  <si>
    <t>Tællende</t>
  </si>
  <si>
    <t>Min. tællende</t>
  </si>
  <si>
    <t>1. pladser</t>
  </si>
  <si>
    <t xml:space="preserve">    Puts</t>
  </si>
  <si>
    <t>Gen.snit</t>
  </si>
  <si>
    <t>Putte-rund.</t>
  </si>
  <si>
    <t>Med 37 puts</t>
  </si>
  <si>
    <t>Runder tæller</t>
  </si>
  <si>
    <t>Når der spilles mindre end 18 huller, udregnes put antal ud fra gennemsnittet af de spillede huller</t>
  </si>
  <si>
    <t>De dårligste streges (markeret med rød tekst hvis man har spillet over 18 runder.</t>
  </si>
  <si>
    <t>Manglende runder op til 18 udregnet efter 37 puts!</t>
  </si>
  <si>
    <t xml:space="preserve">                Tættest Flaget</t>
  </si>
  <si>
    <t>Længste Drive</t>
  </si>
  <si>
    <t>Afstand i m</t>
  </si>
  <si>
    <t>Hul</t>
  </si>
  <si>
    <t>Dato</t>
  </si>
  <si>
    <t>Bane</t>
  </si>
  <si>
    <t>CLOSEST PIN</t>
  </si>
  <si>
    <t>LONGEST DRIVE</t>
  </si>
  <si>
    <t>18 huller</t>
  </si>
  <si>
    <t>Spiller</t>
  </si>
  <si>
    <t>HCP</t>
  </si>
  <si>
    <t>Slag / point</t>
  </si>
  <si>
    <t>Puts</t>
  </si>
  <si>
    <t>Tættest Flaget</t>
  </si>
  <si>
    <t>Placering</t>
  </si>
  <si>
    <t>Point</t>
  </si>
  <si>
    <t>Sign on fee          + $-præmie</t>
  </si>
  <si>
    <t>$</t>
  </si>
  <si>
    <t>1 (25%)</t>
  </si>
  <si>
    <t>2 (20%)</t>
  </si>
  <si>
    <t>3 (15%)</t>
  </si>
  <si>
    <t>4 (12%)</t>
  </si>
  <si>
    <t>5 (10%)</t>
  </si>
  <si>
    <t>6 (8%)</t>
  </si>
  <si>
    <t>7 (6%)</t>
  </si>
  <si>
    <t>8 (4%)</t>
  </si>
  <si>
    <t>Præmiesum i $:</t>
  </si>
  <si>
    <t>Tæt. Flag ($= 7. pl)</t>
  </si>
  <si>
    <t>Puts er omregnet til 18 huller</t>
  </si>
  <si>
    <t>Antal huller
spillet</t>
  </si>
  <si>
    <t>Omregnet
til</t>
  </si>
  <si>
    <t>Tour Championship by Coca-Cola</t>
  </si>
  <si>
    <t>BMW Championship</t>
  </si>
  <si>
    <t>-</t>
  </si>
  <si>
    <t>Makker</t>
  </si>
  <si>
    <t>Money</t>
  </si>
  <si>
    <t>2 x</t>
  </si>
  <si>
    <t>Hold</t>
  </si>
  <si>
    <t>4x</t>
  </si>
  <si>
    <t>Deutsche Bank Championship</t>
  </si>
  <si>
    <t>The Barclays</t>
  </si>
  <si>
    <t>PGA Championship</t>
  </si>
  <si>
    <t>Slag</t>
  </si>
  <si>
    <t>WGC Bridgestone Invitational</t>
  </si>
  <si>
    <t>Putts</t>
  </si>
  <si>
    <t>RBC Canadian Open</t>
  </si>
  <si>
    <t>The Open</t>
  </si>
  <si>
    <t>John Deere Classic</t>
  </si>
  <si>
    <t>Travelers Championship</t>
  </si>
  <si>
    <t>US Open</t>
  </si>
  <si>
    <t>FedEx St. Jude Classic</t>
  </si>
  <si>
    <t>The Memorial Tournament</t>
  </si>
  <si>
    <t>Crowne Plaza Invitational</t>
  </si>
  <si>
    <t>The Players Championship</t>
  </si>
  <si>
    <t>Wells Fargo Championship</t>
  </si>
  <si>
    <t>Zürich Classic of New Orleans</t>
  </si>
  <si>
    <t>RBC Heritage</t>
  </si>
  <si>
    <t>Masters Tournament</t>
  </si>
  <si>
    <t>Valero Texas Open</t>
  </si>
  <si>
    <t>Shell Houston Open</t>
  </si>
  <si>
    <t>Arnold Palmer Invitational</t>
  </si>
  <si>
    <t>Preseason</t>
  </si>
  <si>
    <t>Start</t>
  </si>
  <si>
    <t>Præmie</t>
  </si>
  <si>
    <t>Match</t>
  </si>
  <si>
    <t>Type</t>
  </si>
  <si>
    <t>Bemærk</t>
  </si>
  <si>
    <t>Stableford</t>
  </si>
  <si>
    <t>Warm-Up</t>
  </si>
  <si>
    <t>Regular Season</t>
  </si>
  <si>
    <t>Ikke 18 huller</t>
  </si>
  <si>
    <t>Superrunde/Spisning</t>
  </si>
  <si>
    <t>MASTERS TOURNAMENT</t>
  </si>
  <si>
    <t>Slagspil</t>
  </si>
  <si>
    <t>U.S. OPEN</t>
  </si>
  <si>
    <t>The Greenbrier Classic</t>
  </si>
  <si>
    <t>THE OPEN CHAMPIONSHIP</t>
  </si>
  <si>
    <t>Bestball</t>
  </si>
  <si>
    <t>PGA CHAMPIONSHIP</t>
  </si>
  <si>
    <t>Fall Series</t>
  </si>
  <si>
    <t>27 huller + fest</t>
  </si>
  <si>
    <t>Tours</t>
  </si>
  <si>
    <t> ?</t>
  </si>
  <si>
    <t>2x5.000.000</t>
  </si>
  <si>
    <t>Matchkomite</t>
  </si>
  <si>
    <t>Udenbys turnering</t>
  </si>
  <si>
    <t>International Tours</t>
  </si>
  <si>
    <t>InnGolf Turkish Invitational</t>
  </si>
  <si>
    <t>Udenlands turnering</t>
  </si>
  <si>
    <t>Starttid</t>
  </si>
  <si>
    <t>Vinder</t>
  </si>
  <si>
    <t>P</t>
  </si>
  <si>
    <t>Tættest flaget</t>
  </si>
  <si>
    <t>Sløjfe</t>
  </si>
  <si>
    <t>Vinterbane</t>
  </si>
  <si>
    <t>Største</t>
  </si>
  <si>
    <t>The Honda Classic</t>
  </si>
  <si>
    <t>Valspar Championship</t>
  </si>
  <si>
    <t>TOUR Championship by Coca-Cola</t>
  </si>
  <si>
    <t>InnGolf Championship</t>
  </si>
  <si>
    <t>* Fra rød tee</t>
  </si>
  <si>
    <t>* Fra blå tee</t>
  </si>
  <si>
    <t>* Hvid tee</t>
  </si>
  <si>
    <t>* Evt. Medley</t>
  </si>
  <si>
    <t>m</t>
  </si>
  <si>
    <t>Quicken Loans National</t>
  </si>
  <si>
    <t>Antal deltagere</t>
  </si>
  <si>
    <t>DGU-nr</t>
  </si>
  <si>
    <t xml:space="preserve">   INNGOLF STILLING 2015 </t>
  </si>
  <si>
    <t>Inngolf PGA Tour 2015 - Torsdag den 7/8 - 18 huller Slagspil - Skoven/Sletten</t>
  </si>
  <si>
    <t>Inngolf PGA Tour 2015 - Torsdag den 12/6 - 18 huller Slagspil - Sletten/Ådalen</t>
  </si>
  <si>
    <t>Inngolf PGA Tour 2015 - Torsdag den 24/4 - 18 huller Stableford - Skoven/Sletten (Rød tee)</t>
  </si>
  <si>
    <t>Inngolf PGA Tour 2015 - Torsdag den 20/3 - 12 huller Stableford - Skoven-Sletten (Vinterbanen)</t>
  </si>
  <si>
    <t>InnGolf Tourplan 2015</t>
  </si>
  <si>
    <t>The InnGolf Final 2015</t>
  </si>
  <si>
    <t>InnGolf Tourplan 2015 - Vindere</t>
  </si>
  <si>
    <t>TBA</t>
  </si>
  <si>
    <t xml:space="preserve">AT&amp;T Byron Nelson Championship </t>
  </si>
  <si>
    <t>the Memorial Tournament</t>
  </si>
  <si>
    <t>WGC-Bridgestone Invitational</t>
  </si>
  <si>
    <t>Quicken Loan National</t>
  </si>
  <si>
    <t>Wyndham Championship</t>
  </si>
  <si>
    <t>InnGolf Fall Final 2015</t>
  </si>
  <si>
    <t>WGC - Cadillac Championship</t>
  </si>
  <si>
    <t>WGC - Cadillac Match Play</t>
  </si>
  <si>
    <t>Inngolf PGA Tour 2015 - Lørdag den 10/10 - 27 huller stableford Ådalen-Skoven-Sletten</t>
  </si>
  <si>
    <t>Inngolf PGA Tour 2015 - Torsdag den 1/10 - 14 huller stableford Ådalen-Skoven</t>
  </si>
  <si>
    <t>?</t>
  </si>
  <si>
    <t>InnGolf Fall Final</t>
  </si>
  <si>
    <t>InnGolf Captains Cup</t>
  </si>
  <si>
    <t>13. sæson - i alt 34 tællende turneringer</t>
  </si>
  <si>
    <t>Inngolf PGA Tour 2015 - Torsdag den 8/10 - 14 huller stableford Ådalen-Skoven</t>
  </si>
  <si>
    <t>AT&amp;T Byron Nelson Championship</t>
  </si>
  <si>
    <t>Inngolf PGA Tour 2015 - Torsdag den 2/7 - 18 huller slagspil - Sletten/Ådalen</t>
  </si>
  <si>
    <t>Inngolf PGA Tour 2015 - Torsdag den 9/7 - 18 huller stableford - Ådalen/Skoven</t>
  </si>
  <si>
    <t>Inngolf PGA Tour 2015 - Torsdag den 16/7 - 18 huller Stableford - Skoven/Sletten</t>
  </si>
  <si>
    <t>29/8b</t>
  </si>
  <si>
    <t>29/8a</t>
  </si>
  <si>
    <t>30/5b</t>
  </si>
  <si>
    <t>30/5a</t>
  </si>
  <si>
    <t>SS</t>
  </si>
  <si>
    <t>SÅ</t>
  </si>
  <si>
    <t>ÅS</t>
  </si>
  <si>
    <t>SSÅ</t>
  </si>
  <si>
    <t>* 5 køller</t>
  </si>
  <si>
    <t>Medley</t>
  </si>
  <si>
    <t>* Holdspil</t>
  </si>
  <si>
    <t>Inngolf PGA Tour 2015 - Torsdag den 12/3 - 11 huller Stableford - Skoven-Sletten (Vinterbanen)</t>
  </si>
  <si>
    <t>Inngolf PGA Tour 2015 - Torsdag den 26/3 - 13 huller Stableford - Skoven/Sletten</t>
  </si>
  <si>
    <t>Inngolf PGA Tour 2015 - Torsdag den 2. april - 18 huller Stableford -  Skoven/Sletten</t>
  </si>
  <si>
    <t>Bøder</t>
  </si>
  <si>
    <t>Bøder kr.</t>
  </si>
  <si>
    <t>Inngolf PGA Tour 2015 - Torsdag den 9. april - 18 huller Stableford - Sletten/Ådalen</t>
  </si>
  <si>
    <t>2xTF</t>
  </si>
  <si>
    <t>Ådalen 9</t>
  </si>
  <si>
    <t>Sletten 6</t>
  </si>
  <si>
    <t>Sletten 9</t>
  </si>
  <si>
    <t>Sletten 4</t>
  </si>
  <si>
    <t>Ådalen 2</t>
  </si>
  <si>
    <t>Skoven-Sletten: Henning V. 13 points 5/7-12 (hvid tee) - Sletten-Ådalen: Henning BN 13 points 9/4-15 - Ådalen-Skoven: Torben C. 11 points 29/4-10</t>
  </si>
  <si>
    <t>Bo</t>
  </si>
  <si>
    <t>Steen</t>
  </si>
  <si>
    <t>Børge</t>
  </si>
  <si>
    <t>Morten</t>
  </si>
  <si>
    <t>Finn</t>
  </si>
  <si>
    <t>Erik</t>
  </si>
  <si>
    <t>Jakob</t>
  </si>
  <si>
    <t>Claus</t>
  </si>
  <si>
    <t>Thorkild</t>
  </si>
  <si>
    <t>Jesper</t>
  </si>
  <si>
    <t>Karsten</t>
  </si>
  <si>
    <t xml:space="preserve">Henning </t>
  </si>
  <si>
    <t>Martin</t>
  </si>
  <si>
    <t>Jan</t>
  </si>
  <si>
    <t>John</t>
  </si>
  <si>
    <t>Henning</t>
  </si>
  <si>
    <t>Carsten</t>
  </si>
  <si>
    <t>Robin</t>
  </si>
  <si>
    <t>Jens</t>
  </si>
  <si>
    <t>Torben</t>
  </si>
  <si>
    <t>Skoven 5</t>
  </si>
  <si>
    <t>Erik Pedersen</t>
  </si>
  <si>
    <t>Inngolf PGA Tour 2015 - Torsdag den 16. april - 18 huller Stableford - Ådalen/Skoven</t>
  </si>
  <si>
    <t>Ole</t>
  </si>
  <si>
    <t>Per</t>
  </si>
  <si>
    <t>De 18 bedste resultater tæller, resten udgår (felter markeret med rød tekst)</t>
  </si>
  <si>
    <t>Hans Martin</t>
  </si>
  <si>
    <t>Inngolf PGA Tour 2015 - Torsdag den 30/4 - 18 huller Stableford - Sletten/Ådalen</t>
  </si>
  <si>
    <t>Inngolf PGA Tour 2015 - Torsdag den 7/5 - 18 huller slagspil - Ådalen/Skoven</t>
  </si>
  <si>
    <t>Skoven 8</t>
  </si>
  <si>
    <t>Ådalen 4</t>
  </si>
  <si>
    <t>Inngolf PGA Tour 2015 - Torsdag den 14/5 - 18 huller Stableford - Skoven/Sletten</t>
  </si>
  <si>
    <t>Henning BN</t>
  </si>
  <si>
    <t>NR</t>
  </si>
  <si>
    <t>Inngolf PGA Tour 2015 - Torsdag den 21/5 - 18 huller Stableford - Sletten/Ådalen</t>
  </si>
  <si>
    <t>Hans M</t>
  </si>
  <si>
    <t xml:space="preserve">Erik </t>
  </si>
  <si>
    <t>Inngolf PGA Tour 2015 - Torsdag den 28/5 - 18 huller Stableford - Ådalen/Skoven</t>
  </si>
  <si>
    <t>Hadersleben Geöffnet</t>
  </si>
  <si>
    <t>Inngolf PGA Tour 2015 - Lørdag den 30/5 formiddag - 18 huller Best Ball - Haderslev GK</t>
  </si>
  <si>
    <t>LD</t>
  </si>
  <si>
    <t>H15</t>
  </si>
  <si>
    <t>H13</t>
  </si>
  <si>
    <t>H11</t>
  </si>
  <si>
    <t>H6</t>
  </si>
  <si>
    <t>H3</t>
  </si>
  <si>
    <t>Pedro 1</t>
  </si>
  <si>
    <t>Pedro 2</t>
  </si>
  <si>
    <t>Inngolf PGA Tour 2015 - Lørdag den 30/5 eftermiddag - 18 huller Stableford - Haderslev GK</t>
  </si>
  <si>
    <t>Haderslev</t>
  </si>
  <si>
    <t>HGK 6</t>
  </si>
  <si>
    <t>HGK 13</t>
  </si>
  <si>
    <t>HGK 15</t>
  </si>
  <si>
    <t>HGK 11</t>
  </si>
  <si>
    <t>HGK 3</t>
  </si>
  <si>
    <t>Gyttegård</t>
  </si>
  <si>
    <t>Inngolf PGA Tour 2015 - Torsdag den 4/6 - 18 huller Stableford - Skoven/Sletten</t>
  </si>
  <si>
    <t>Inngolf PGA Tour 2015 - Torsdag den 18/6 - 18 huller slagspil, Ådalen/Skoven</t>
  </si>
  <si>
    <t>Nicolai (a)</t>
  </si>
  <si>
    <t>3x</t>
  </si>
  <si>
    <t>Inngolf PGA Tour 2015 - Torsdag den 25/6 - 18 huller Medley - Skoven/Sletten</t>
  </si>
  <si>
    <t>TF</t>
  </si>
  <si>
    <t>Robin/Bo</t>
  </si>
  <si>
    <t>Inngolf PGA Tour 2015 - Torsdag den 23/7 - 18 huller Stableford, Sletten/Ådalen</t>
  </si>
  <si>
    <t>Inngolf PGA Tour 2015 - Torsdag den 30/7 - 18 huller Stableford Ådalen/Skoven</t>
  </si>
  <si>
    <t>Inngolf PGA Tour 2015 - Torsdag den 13/8 - 18 huller slagspil - Sletten / Ådalen</t>
  </si>
  <si>
    <t>39</t>
  </si>
  <si>
    <t>41</t>
  </si>
  <si>
    <t>Inngolf PGA Tour 2015 - Torsdag den 20/8 - 18 huller Stableford - Ådalen/Skoven</t>
  </si>
  <si>
    <t>38</t>
  </si>
  <si>
    <t>43</t>
  </si>
  <si>
    <t>Inngolf PGA Tour 2015 - Torsdag den 27/8 - 18 huller Stableford - Skoven/Sletten - Hvid tee</t>
  </si>
  <si>
    <t>37</t>
  </si>
  <si>
    <t>36</t>
  </si>
  <si>
    <t>Inngolf PGA Tour 2015 - Lørdag den 29/8 formiddag - 18 huller Stableford, Gyttegård Golf Klub</t>
  </si>
  <si>
    <t>Inngolf PGA Tour 2015 - Lørdag den 29/8 eftermiddag - 18 huller Texas Gyttegård Golf Klub</t>
  </si>
  <si>
    <t>Gyttegård Invitational</t>
  </si>
  <si>
    <t>LD+TF</t>
  </si>
  <si>
    <t>Kristian Dam</t>
  </si>
  <si>
    <t>Gyttegård 15</t>
  </si>
  <si>
    <t>Gyttegård 3</t>
  </si>
  <si>
    <t>Gyttegård 4</t>
  </si>
  <si>
    <t>Gyttegård 12</t>
  </si>
  <si>
    <t>29/08 a</t>
  </si>
  <si>
    <t>29/08 b</t>
  </si>
  <si>
    <t>Inngolf PGA Tour 2015 - Torsdag den 3/9 - 18 huller Stableford Sletten/Ådalen</t>
  </si>
  <si>
    <t>2</t>
  </si>
  <si>
    <t>1</t>
  </si>
  <si>
    <t>Carste D</t>
  </si>
  <si>
    <t>Inngolf PGA Tour 2015 - Torsdag den 10/9 - 16 huller Stableford Ådalen/Skoven</t>
  </si>
  <si>
    <t>35</t>
  </si>
  <si>
    <t>42</t>
  </si>
  <si>
    <t>Inngolf PGA Tour 2015 - Torsdag den 17/9 - 13 huller stableford Skoven/Sletten</t>
  </si>
  <si>
    <t>34</t>
  </si>
  <si>
    <t>46</t>
  </si>
  <si>
    <t>Skoven-Sletten: Dan 75 slag 24/3-05      Sletten-Ådalen: Stig 74 slag 21/7-05      Ådalen-Skoven: Dan 78 slag 28/7-05     Udenbys: Robin 73 slag 29/8-15</t>
  </si>
  <si>
    <t>Inngolf PGA Tour 2015 - Torsdag den 25/9 - 9 huller stableford Sletten-Ådalen</t>
  </si>
  <si>
    <t>40</t>
  </si>
  <si>
    <t>44</t>
  </si>
  <si>
    <t>45</t>
  </si>
  <si>
    <t>2xtf</t>
  </si>
  <si>
    <t>4,26 +ld</t>
  </si>
  <si>
    <t>3</t>
  </si>
  <si>
    <t>Steen Nybo</t>
  </si>
  <si>
    <t>Steen N</t>
  </si>
  <si>
    <t>Skoven</t>
  </si>
</sst>
</file>

<file path=xl/styles.xml><?xml version="1.0" encoding="utf-8"?>
<styleSheet xmlns="http://schemas.openxmlformats.org/spreadsheetml/2006/main">
  <numFmts count="1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dd/mm"/>
    <numFmt numFmtId="174" formatCode="mmm/yyyy"/>
  </numFmts>
  <fonts count="86">
    <font>
      <sz val="10"/>
      <name val="Arial"/>
      <family val="0"/>
    </font>
    <font>
      <sz val="12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0"/>
      <color indexed="55"/>
      <name val="Arial"/>
      <family val="0"/>
    </font>
    <font>
      <sz val="12"/>
      <color indexed="55"/>
      <name val="Arial"/>
      <family val="2"/>
    </font>
    <font>
      <sz val="12"/>
      <color indexed="9"/>
      <name val="Arial"/>
      <family val="2"/>
    </font>
    <font>
      <i/>
      <sz val="10"/>
      <color indexed="22"/>
      <name val="Arial"/>
      <family val="2"/>
    </font>
    <font>
      <sz val="10"/>
      <color indexed="22"/>
      <name val="Arial"/>
      <family val="0"/>
    </font>
    <font>
      <sz val="10"/>
      <color indexed="8"/>
      <name val="Arial"/>
      <family val="2"/>
    </font>
    <font>
      <b/>
      <sz val="16"/>
      <color indexed="22"/>
      <name val="Arial"/>
      <family val="2"/>
    </font>
    <font>
      <b/>
      <sz val="16"/>
      <color indexed="8"/>
      <name val="Arial"/>
      <family val="2"/>
    </font>
    <font>
      <sz val="12"/>
      <color indexed="22"/>
      <name val="Arial"/>
      <family val="2"/>
    </font>
    <font>
      <sz val="12"/>
      <color indexed="8"/>
      <name val="Arial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0"/>
    </font>
    <font>
      <b/>
      <sz val="12"/>
      <color indexed="10"/>
      <name val="Arial"/>
      <family val="2"/>
    </font>
    <font>
      <sz val="8"/>
      <color indexed="55"/>
      <name val="Arial"/>
      <family val="2"/>
    </font>
    <font>
      <sz val="8"/>
      <name val="Verdana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4"/>
      <name val="Arial"/>
      <family val="0"/>
    </font>
    <font>
      <b/>
      <sz val="26"/>
      <name val="Arial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b/>
      <sz val="22"/>
      <color indexed="6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8"/>
      <name val="Arial"/>
      <family val="0"/>
    </font>
    <font>
      <i/>
      <sz val="12"/>
      <color indexed="8"/>
      <name val="Calibri"/>
      <family val="0"/>
    </font>
    <font>
      <b/>
      <sz val="12"/>
      <name val="Calibri"/>
      <family val="0"/>
    </font>
    <font>
      <i/>
      <sz val="11"/>
      <name val="Arial"/>
      <family val="0"/>
    </font>
    <font>
      <sz val="12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8"/>
      <color indexed="56"/>
      <name val="Cambria"/>
      <family val="2"/>
    </font>
    <font>
      <sz val="12"/>
      <color indexed="14"/>
      <name val="Calibri"/>
      <family val="2"/>
    </font>
    <font>
      <i/>
      <sz val="12"/>
      <color indexed="9"/>
      <name val="Calibri"/>
      <family val="0"/>
    </font>
    <font>
      <i/>
      <sz val="11"/>
      <color indexed="55"/>
      <name val="Arial"/>
      <family val="0"/>
    </font>
    <font>
      <sz val="10"/>
      <color indexed="10"/>
      <name val="Arial"/>
      <family val="0"/>
    </font>
    <font>
      <sz val="11"/>
      <color indexed="8"/>
      <name val="Arial"/>
      <family val="0"/>
    </font>
    <font>
      <b/>
      <sz val="22"/>
      <color indexed="17"/>
      <name val="Calibri"/>
      <family val="0"/>
    </font>
    <font>
      <b/>
      <sz val="11"/>
      <color indexed="9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1"/>
      <color theme="0" tint="-0.3499799966812134"/>
      <name val="Arial"/>
      <family val="0"/>
    </font>
    <font>
      <i/>
      <sz val="12"/>
      <color theme="0"/>
      <name val="Calibri"/>
      <family val="0"/>
    </font>
    <font>
      <i/>
      <sz val="11"/>
      <color theme="0" tint="-0.3499799966812134"/>
      <name val="Arial"/>
      <family val="0"/>
    </font>
    <font>
      <sz val="10"/>
      <color rgb="FFFF0000"/>
      <name val="Arial"/>
      <family val="0"/>
    </font>
    <font>
      <sz val="11"/>
      <color theme="1"/>
      <name val="Arial"/>
      <family val="0"/>
    </font>
    <font>
      <b/>
      <sz val="22"/>
      <color rgb="FF008000"/>
      <name val="Calibri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2C7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8000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66" fillId="21" borderId="2" applyNumberForma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0" borderId="3" applyNumberFormat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72" fillId="21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textRotation="90"/>
      <protection locked="0"/>
    </xf>
    <xf numFmtId="49" fontId="4" fillId="0" borderId="0" xfId="0" applyNumberFormat="1" applyFont="1" applyBorder="1" applyAlignment="1" applyProtection="1">
      <alignment textRotation="90"/>
      <protection/>
    </xf>
    <xf numFmtId="49" fontId="4" fillId="33" borderId="10" xfId="0" applyNumberFormat="1" applyFont="1" applyFill="1" applyBorder="1" applyAlignment="1" applyProtection="1">
      <alignment horizontal="center" textRotation="90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49" fontId="4" fillId="33" borderId="11" xfId="0" applyNumberFormat="1" applyFont="1" applyFill="1" applyBorder="1" applyAlignment="1" applyProtection="1">
      <alignment horizontal="center" textRotation="90"/>
      <protection locked="0"/>
    </xf>
    <xf numFmtId="173" fontId="0" fillId="33" borderId="11" xfId="0" applyNumberFormat="1" applyFont="1" applyFill="1" applyBorder="1" applyAlignment="1" applyProtection="1">
      <alignment horizontal="center" textRotation="90"/>
      <protection/>
    </xf>
    <xf numFmtId="49" fontId="14" fillId="33" borderId="11" xfId="0" applyNumberFormat="1" applyFont="1" applyFill="1" applyBorder="1" applyAlignment="1" applyProtection="1">
      <alignment horizontal="center" textRotation="90"/>
      <protection/>
    </xf>
    <xf numFmtId="49" fontId="4" fillId="0" borderId="0" xfId="0" applyNumberFormat="1" applyFont="1" applyBorder="1" applyAlignment="1" applyProtection="1">
      <alignment textRotation="90"/>
      <protection locked="0"/>
    </xf>
    <xf numFmtId="0" fontId="4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2" fontId="4" fillId="33" borderId="10" xfId="0" applyNumberFormat="1" applyFont="1" applyFill="1" applyBorder="1" applyAlignment="1" applyProtection="1">
      <alignment horizontal="center" textRotation="90"/>
      <protection locked="0"/>
    </xf>
    <xf numFmtId="49" fontId="22" fillId="0" borderId="0" xfId="0" applyNumberFormat="1" applyFont="1" applyAlignment="1" applyProtection="1">
      <alignment textRotation="90"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9" fillId="0" borderId="10" xfId="0" applyNumberFormat="1" applyFont="1" applyBorder="1" applyAlignment="1" applyProtection="1">
      <alignment/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1" fontId="4" fillId="0" borderId="0" xfId="0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" fontId="4" fillId="0" borderId="0" xfId="0" applyNumberFormat="1" applyFont="1" applyBorder="1" applyAlignment="1" applyProtection="1">
      <alignment horizontal="center"/>
      <protection locked="0"/>
    </xf>
    <xf numFmtId="2" fontId="4" fillId="33" borderId="11" xfId="0" applyNumberFormat="1" applyFont="1" applyFill="1" applyBorder="1" applyAlignment="1" applyProtection="1">
      <alignment horizontal="center" textRotation="90"/>
      <protection locked="0"/>
    </xf>
    <xf numFmtId="49" fontId="4" fillId="0" borderId="0" xfId="0" applyNumberFormat="1" applyFont="1" applyBorder="1" applyAlignment="1" applyProtection="1">
      <alignment horizontal="center" textRotation="90"/>
      <protection locked="0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3" fontId="24" fillId="0" borderId="1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horizontal="right" wrapText="1"/>
    </xf>
    <xf numFmtId="2" fontId="24" fillId="0" borderId="10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3" fontId="24" fillId="0" borderId="12" xfId="0" applyNumberFormat="1" applyFont="1" applyBorder="1" applyAlignment="1">
      <alignment horizontal="center"/>
    </xf>
    <xf numFmtId="3" fontId="24" fillId="0" borderId="12" xfId="0" applyNumberFormat="1" applyFont="1" applyBorder="1" applyAlignment="1">
      <alignment/>
    </xf>
    <xf numFmtId="3" fontId="24" fillId="0" borderId="12" xfId="0" applyNumberFormat="1" applyFont="1" applyBorder="1" applyAlignment="1">
      <alignment horizontal="right" wrapText="1"/>
    </xf>
    <xf numFmtId="2" fontId="24" fillId="0" borderId="12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3" fontId="24" fillId="0" borderId="13" xfId="0" applyNumberFormat="1" applyFont="1" applyBorder="1" applyAlignment="1">
      <alignment horizontal="center"/>
    </xf>
    <xf numFmtId="3" fontId="24" fillId="0" borderId="13" xfId="0" applyNumberFormat="1" applyFont="1" applyBorder="1" applyAlignment="1">
      <alignment/>
    </xf>
    <xf numFmtId="3" fontId="24" fillId="0" borderId="13" xfId="0" applyNumberFormat="1" applyFont="1" applyBorder="1" applyAlignment="1">
      <alignment horizontal="right" wrapText="1"/>
    </xf>
    <xf numFmtId="2" fontId="24" fillId="0" borderId="13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2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1" fillId="34" borderId="10" xfId="0" applyFont="1" applyFill="1" applyBorder="1" applyAlignment="1">
      <alignment horizontal="left" wrapText="1"/>
    </xf>
    <xf numFmtId="0" fontId="21" fillId="34" borderId="10" xfId="0" applyFont="1" applyFill="1" applyBorder="1" applyAlignment="1">
      <alignment horizontal="center" wrapText="1"/>
    </xf>
    <xf numFmtId="0" fontId="21" fillId="34" borderId="14" xfId="0" applyFont="1" applyFill="1" applyBorder="1" applyAlignment="1">
      <alignment horizontal="center" wrapText="1"/>
    </xf>
    <xf numFmtId="0" fontId="21" fillId="34" borderId="15" xfId="0" applyFont="1" applyFill="1" applyBorder="1" applyAlignment="1">
      <alignment horizontal="center" wrapText="1"/>
    </xf>
    <xf numFmtId="0" fontId="21" fillId="34" borderId="16" xfId="0" applyFont="1" applyFill="1" applyBorder="1" applyAlignment="1">
      <alignment horizontal="center" wrapText="1"/>
    </xf>
    <xf numFmtId="0" fontId="21" fillId="34" borderId="17" xfId="0" applyFont="1" applyFill="1" applyBorder="1" applyAlignment="1">
      <alignment wrapText="1"/>
    </xf>
    <xf numFmtId="1" fontId="30" fillId="34" borderId="17" xfId="0" applyNumberFormat="1" applyFont="1" applyFill="1" applyBorder="1" applyAlignment="1">
      <alignment horizontal="left" vertical="center"/>
    </xf>
    <xf numFmtId="1" fontId="30" fillId="34" borderId="18" xfId="0" applyNumberFormat="1" applyFont="1" applyFill="1" applyBorder="1" applyAlignment="1">
      <alignment horizontal="center" vertical="center"/>
    </xf>
    <xf numFmtId="1" fontId="30" fillId="34" borderId="16" xfId="0" applyNumberFormat="1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30" fillId="0" borderId="0" xfId="0" applyNumberFormat="1" applyFont="1" applyFill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13" xfId="0" applyFont="1" applyFill="1" applyBorder="1" applyAlignment="1">
      <alignment horizontal="left" vertical="center" wrapText="1" indent="1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indent="1"/>
    </xf>
    <xf numFmtId="3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>
      <alignment horizontal="left" vertical="center" wrapText="1" indent="1"/>
    </xf>
    <xf numFmtId="3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>
      <alignment horizontal="left" vertical="center" wrapText="1" indent="1"/>
    </xf>
    <xf numFmtId="3" fontId="6" fillId="0" borderId="28" xfId="0" applyNumberFormat="1" applyFont="1" applyFill="1" applyBorder="1" applyAlignment="1" applyProtection="1">
      <alignment horizontal="center" vertical="center" wrapText="1"/>
      <protection/>
    </xf>
    <xf numFmtId="3" fontId="6" fillId="0" borderId="24" xfId="0" applyNumberFormat="1" applyFont="1" applyFill="1" applyBorder="1" applyAlignment="1" applyProtection="1">
      <alignment horizontal="right" vertical="center" wrapText="1" indent="2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 wrapText="1" indent="2"/>
      <protection/>
    </xf>
    <xf numFmtId="3" fontId="0" fillId="0" borderId="10" xfId="0" applyNumberFormat="1" applyFont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 wrapText="1" indent="2"/>
      <protection/>
    </xf>
    <xf numFmtId="3" fontId="6" fillId="0" borderId="13" xfId="0" applyNumberFormat="1" applyFont="1" applyFill="1" applyBorder="1" applyAlignment="1" applyProtection="1">
      <alignment horizontal="right" vertical="center" wrapText="1" indent="2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 indent="2"/>
      <protection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left" vertical="center" wrapText="1" indent="1"/>
    </xf>
    <xf numFmtId="2" fontId="6" fillId="0" borderId="29" xfId="0" applyNumberFormat="1" applyFont="1" applyFill="1" applyBorder="1" applyAlignment="1" applyProtection="1">
      <alignment horizontal="center" wrapText="1"/>
      <protection/>
    </xf>
    <xf numFmtId="1" fontId="0" fillId="0" borderId="29" xfId="0" applyNumberFormat="1" applyFont="1" applyFill="1" applyBorder="1" applyAlignment="1" applyProtection="1">
      <alignment horizontal="center" wrapText="1"/>
      <protection/>
    </xf>
    <xf numFmtId="0" fontId="2" fillId="0" borderId="30" xfId="0" applyFont="1" applyFill="1" applyBorder="1" applyAlignment="1">
      <alignment horizontal="left" vertical="center" wrapText="1" indent="1"/>
    </xf>
    <xf numFmtId="2" fontId="6" fillId="0" borderId="30" xfId="0" applyNumberFormat="1" applyFont="1" applyFill="1" applyBorder="1" applyAlignment="1" applyProtection="1">
      <alignment horizontal="center" wrapText="1"/>
      <protection/>
    </xf>
    <xf numFmtId="1" fontId="0" fillId="0" borderId="30" xfId="0" applyNumberFormat="1" applyFont="1" applyFill="1" applyBorder="1" applyAlignment="1" applyProtection="1">
      <alignment horizontal="center" wrapText="1"/>
      <protection/>
    </xf>
    <xf numFmtId="173" fontId="0" fillId="33" borderId="10" xfId="0" applyNumberFormat="1" applyFont="1" applyFill="1" applyBorder="1" applyAlignment="1" applyProtection="1">
      <alignment horizontal="center" textRotation="90"/>
      <protection/>
    </xf>
    <xf numFmtId="16" fontId="1" fillId="0" borderId="31" xfId="0" applyNumberFormat="1" applyFont="1" applyBorder="1" applyAlignment="1">
      <alignment horizontal="center"/>
    </xf>
    <xf numFmtId="20" fontId="1" fillId="0" borderId="31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39" fillId="0" borderId="0" xfId="0" applyFont="1" applyAlignment="1">
      <alignment/>
    </xf>
    <xf numFmtId="0" fontId="70" fillId="35" borderId="0" xfId="0" applyFont="1" applyFill="1" applyAlignment="1">
      <alignment horizontal="center"/>
    </xf>
    <xf numFmtId="0" fontId="2" fillId="0" borderId="29" xfId="0" applyFont="1" applyBorder="1" applyAlignment="1">
      <alignment horizontal="center" vertical="center"/>
    </xf>
    <xf numFmtId="172" fontId="9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4" fillId="0" borderId="31" xfId="0" applyNumberFormat="1" applyFont="1" applyBorder="1" applyAlignment="1" applyProtection="1">
      <alignment textRotation="90"/>
      <protection locked="0"/>
    </xf>
    <xf numFmtId="2" fontId="4" fillId="33" borderId="32" xfId="0" applyNumberFormat="1" applyFont="1" applyFill="1" applyBorder="1" applyAlignment="1" applyProtection="1">
      <alignment horizontal="center" textRotation="90"/>
      <protection locked="0"/>
    </xf>
    <xf numFmtId="1" fontId="4" fillId="33" borderId="32" xfId="0" applyNumberFormat="1" applyFont="1" applyFill="1" applyBorder="1" applyAlignment="1" applyProtection="1">
      <alignment horizontal="center" textRotation="90"/>
      <protection locked="0"/>
    </xf>
    <xf numFmtId="16" fontId="4" fillId="33" borderId="32" xfId="0" applyNumberFormat="1" applyFont="1" applyFill="1" applyBorder="1" applyAlignment="1" applyProtection="1">
      <alignment horizontal="center" textRotation="90"/>
      <protection locked="0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/>
    </xf>
    <xf numFmtId="1" fontId="0" fillId="0" borderId="33" xfId="0" applyNumberFormat="1" applyFont="1" applyBorder="1" applyAlignment="1" applyProtection="1">
      <alignment horizontal="center" vertical="center"/>
      <protection locked="0"/>
    </xf>
    <xf numFmtId="2" fontId="6" fillId="0" borderId="29" xfId="0" applyNumberFormat="1" applyFont="1" applyBorder="1" applyAlignment="1" applyProtection="1">
      <alignment horizontal="center" vertical="center"/>
      <protection locked="0"/>
    </xf>
    <xf numFmtId="2" fontId="6" fillId="0" borderId="33" xfId="0" applyNumberFormat="1" applyFont="1" applyBorder="1" applyAlignment="1" applyProtection="1">
      <alignment horizontal="center" vertical="center"/>
      <protection locked="0"/>
    </xf>
    <xf numFmtId="16" fontId="0" fillId="0" borderId="33" xfId="0" applyNumberFormat="1" applyFont="1" applyBorder="1" applyAlignment="1" applyProtection="1">
      <alignment horizontal="center" vertical="center"/>
      <protection locked="0"/>
    </xf>
    <xf numFmtId="1" fontId="0" fillId="0" borderId="29" xfId="0" applyNumberFormat="1" applyFont="1" applyBorder="1" applyAlignment="1" applyProtection="1">
      <alignment horizontal="center" vertical="center"/>
      <protection locked="0"/>
    </xf>
    <xf numFmtId="16" fontId="0" fillId="0" borderId="29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6" fontId="0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>
      <alignment horizontal="left"/>
    </xf>
    <xf numFmtId="2" fontId="24" fillId="0" borderId="3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" fontId="2" fillId="0" borderId="11" xfId="0" applyNumberFormat="1" applyFont="1" applyFill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/>
    </xf>
    <xf numFmtId="173" fontId="0" fillId="33" borderId="11" xfId="0" applyNumberFormat="1" applyFill="1" applyBorder="1" applyAlignment="1" applyProtection="1">
      <alignment horizontal="center" vertical="center" textRotation="90"/>
      <protection/>
    </xf>
    <xf numFmtId="173" fontId="0" fillId="33" borderId="11" xfId="0" applyNumberFormat="1" applyFont="1" applyFill="1" applyBorder="1" applyAlignment="1" applyProtection="1">
      <alignment horizontal="center" vertical="center" textRotation="90"/>
      <protection/>
    </xf>
    <xf numFmtId="49" fontId="0" fillId="33" borderId="10" xfId="0" applyNumberFormat="1" applyFont="1" applyFill="1" applyBorder="1" applyAlignment="1" applyProtection="1">
      <alignment horizontal="center" vertical="center" textRotation="90"/>
      <protection/>
    </xf>
    <xf numFmtId="172" fontId="31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8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1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9" fontId="0" fillId="33" borderId="11" xfId="0" applyNumberFormat="1" applyFont="1" applyFill="1" applyBorder="1" applyAlignment="1" applyProtection="1">
      <alignment horizontal="center" textRotation="90"/>
      <protection/>
    </xf>
    <xf numFmtId="1" fontId="4" fillId="36" borderId="29" xfId="0" applyNumberFormat="1" applyFont="1" applyFill="1" applyBorder="1" applyAlignment="1" applyProtection="1">
      <alignment vertical="center" wrapText="1"/>
      <protection/>
    </xf>
    <xf numFmtId="1" fontId="4" fillId="36" borderId="29" xfId="0" applyNumberFormat="1" applyFont="1" applyFill="1" applyBorder="1" applyAlignment="1" applyProtection="1">
      <alignment horizontal="left" vertical="center" wrapText="1"/>
      <protection/>
    </xf>
    <xf numFmtId="1" fontId="4" fillId="36" borderId="29" xfId="0" applyNumberFormat="1" applyFont="1" applyFill="1" applyBorder="1" applyAlignment="1" applyProtection="1">
      <alignment horizontal="left" vertical="center"/>
      <protection/>
    </xf>
    <xf numFmtId="1" fontId="4" fillId="36" borderId="10" xfId="0" applyNumberFormat="1" applyFont="1" applyFill="1" applyBorder="1" applyAlignment="1" applyProtection="1">
      <alignment vertical="center" wrapText="1"/>
      <protection/>
    </xf>
    <xf numFmtId="1" fontId="4" fillId="36" borderId="10" xfId="0" applyNumberFormat="1" applyFont="1" applyFill="1" applyBorder="1" applyAlignment="1" applyProtection="1">
      <alignment horizontal="left" vertical="center" wrapText="1"/>
      <protection/>
    </xf>
    <xf numFmtId="1" fontId="4" fillId="36" borderId="10" xfId="0" applyNumberFormat="1" applyFont="1" applyFill="1" applyBorder="1" applyAlignment="1" applyProtection="1">
      <alignment vertical="center"/>
      <protection locked="0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70" fillId="37" borderId="35" xfId="0" applyFont="1" applyFill="1" applyBorder="1" applyAlignment="1">
      <alignment horizontal="center"/>
    </xf>
    <xf numFmtId="16" fontId="70" fillId="37" borderId="36" xfId="0" applyNumberFormat="1" applyFont="1" applyFill="1" applyBorder="1" applyAlignment="1">
      <alignment horizontal="center"/>
    </xf>
    <xf numFmtId="20" fontId="40" fillId="0" borderId="3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40" fillId="0" borderId="35" xfId="0" applyFont="1" applyFill="1" applyBorder="1" applyAlignment="1">
      <alignment horizontal="center"/>
    </xf>
    <xf numFmtId="20" fontId="40" fillId="38" borderId="35" xfId="0" applyNumberFormat="1" applyFont="1" applyFill="1" applyBorder="1" applyAlignment="1">
      <alignment horizontal="center"/>
    </xf>
    <xf numFmtId="0" fontId="0" fillId="38" borderId="36" xfId="0" applyFont="1" applyFill="1" applyBorder="1" applyAlignment="1">
      <alignment/>
    </xf>
    <xf numFmtId="0" fontId="40" fillId="38" borderId="35" xfId="0" applyFont="1" applyFill="1" applyBorder="1" applyAlignment="1">
      <alignment horizontal="center"/>
    </xf>
    <xf numFmtId="173" fontId="0" fillId="33" borderId="11" xfId="0" applyNumberFormat="1" applyFont="1" applyFill="1" applyBorder="1" applyAlignment="1" applyProtection="1" quotePrefix="1">
      <alignment horizontal="center" vertical="center" textRotation="90"/>
      <protection/>
    </xf>
    <xf numFmtId="1" fontId="4" fillId="36" borderId="29" xfId="0" applyNumberFormat="1" applyFont="1" applyFill="1" applyBorder="1" applyAlignment="1" applyProtection="1">
      <alignment horizontal="left" vertical="center"/>
      <protection locked="0"/>
    </xf>
    <xf numFmtId="2" fontId="6" fillId="0" borderId="37" xfId="0" applyNumberFormat="1" applyFont="1" applyBorder="1" applyAlignment="1" applyProtection="1">
      <alignment horizontal="center" vertical="center"/>
      <protection locked="0"/>
    </xf>
    <xf numFmtId="2" fontId="6" fillId="0" borderId="38" xfId="0" applyNumberFormat="1" applyFont="1" applyBorder="1" applyAlignment="1" applyProtection="1">
      <alignment horizontal="center" vertical="center"/>
      <protection locked="0"/>
    </xf>
    <xf numFmtId="16" fontId="0" fillId="0" borderId="3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36" borderId="10" xfId="0" applyFont="1" applyFill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vertical="center"/>
      <protection/>
    </xf>
    <xf numFmtId="16" fontId="0" fillId="0" borderId="10" xfId="0" applyNumberFormat="1" applyBorder="1" applyAlignment="1" applyProtection="1">
      <alignment horizontal="center" vertical="center"/>
      <protection locked="0"/>
    </xf>
    <xf numFmtId="2" fontId="6" fillId="0" borderId="40" xfId="0" applyNumberFormat="1" applyFont="1" applyBorder="1" applyAlignment="1" applyProtection="1">
      <alignment horizontal="center" vertical="center"/>
      <protection locked="0"/>
    </xf>
    <xf numFmtId="1" fontId="0" fillId="0" borderId="4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" fontId="4" fillId="0" borderId="29" xfId="0" applyNumberFormat="1" applyFont="1" applyBorder="1" applyAlignment="1" applyProtection="1">
      <alignment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vertical="center"/>
      <protection locked="0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16" fontId="4" fillId="0" borderId="29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16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36" borderId="10" xfId="0" applyFont="1" applyFill="1" applyBorder="1" applyAlignment="1" applyProtection="1">
      <alignment vertical="center"/>
      <protection locked="0"/>
    </xf>
    <xf numFmtId="1" fontId="0" fillId="0" borderId="29" xfId="0" applyNumberFormat="1" applyFont="1" applyFill="1" applyBorder="1" applyAlignment="1" applyProtection="1" quotePrefix="1">
      <alignment horizontal="center" wrapText="1"/>
      <protection/>
    </xf>
    <xf numFmtId="3" fontId="0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2" fontId="2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20" fontId="1" fillId="4" borderId="0" xfId="0" applyNumberFormat="1" applyFont="1" applyFill="1" applyAlignment="1">
      <alignment horizontal="center"/>
    </xf>
    <xf numFmtId="0" fontId="81" fillId="0" borderId="0" xfId="0" applyFont="1" applyAlignment="1">
      <alignment/>
    </xf>
    <xf numFmtId="0" fontId="41" fillId="0" borderId="0" xfId="0" applyFont="1" applyAlignment="1">
      <alignment/>
    </xf>
    <xf numFmtId="0" fontId="82" fillId="0" borderId="0" xfId="0" applyFont="1" applyAlignment="1">
      <alignment/>
    </xf>
    <xf numFmtId="0" fontId="34" fillId="0" borderId="29" xfId="0" applyFont="1" applyBorder="1" applyAlignment="1">
      <alignment/>
    </xf>
    <xf numFmtId="0" fontId="35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37" fillId="0" borderId="29" xfId="0" applyFont="1" applyBorder="1" applyAlignment="1">
      <alignment horizontal="center"/>
    </xf>
    <xf numFmtId="16" fontId="1" fillId="0" borderId="29" xfId="0" applyNumberFormat="1" applyFont="1" applyBorder="1" applyAlignment="1">
      <alignment horizontal="center"/>
    </xf>
    <xf numFmtId="20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20" fontId="1" fillId="4" borderId="29" xfId="0" applyNumberFormat="1" applyFont="1" applyFill="1" applyBorder="1" applyAlignment="1">
      <alignment horizontal="center"/>
    </xf>
    <xf numFmtId="0" fontId="37" fillId="0" borderId="29" xfId="0" applyFont="1" applyBorder="1" applyAlignment="1">
      <alignment/>
    </xf>
    <xf numFmtId="0" fontId="1" fillId="39" borderId="29" xfId="0" applyFont="1" applyFill="1" applyBorder="1" applyAlignment="1">
      <alignment/>
    </xf>
    <xf numFmtId="0" fontId="1" fillId="40" borderId="29" xfId="0" applyFont="1" applyFill="1" applyBorder="1" applyAlignment="1">
      <alignment/>
    </xf>
    <xf numFmtId="0" fontId="0" fillId="41" borderId="29" xfId="0" applyFill="1" applyBorder="1" applyAlignment="1">
      <alignment/>
    </xf>
    <xf numFmtId="0" fontId="1" fillId="41" borderId="29" xfId="0" applyFont="1" applyFill="1" applyBorder="1" applyAlignment="1">
      <alignment/>
    </xf>
    <xf numFmtId="0" fontId="39" fillId="41" borderId="29" xfId="0" applyFont="1" applyFill="1" applyBorder="1" applyAlignment="1">
      <alignment/>
    </xf>
    <xf numFmtId="0" fontId="81" fillId="41" borderId="29" xfId="0" applyFont="1" applyFill="1" applyBorder="1" applyAlignment="1">
      <alignment/>
    </xf>
    <xf numFmtId="0" fontId="0" fillId="40" borderId="0" xfId="0" applyFill="1" applyAlignment="1">
      <alignment/>
    </xf>
    <xf numFmtId="0" fontId="81" fillId="40" borderId="29" xfId="0" applyFont="1" applyFill="1" applyBorder="1" applyAlignment="1">
      <alignment/>
    </xf>
    <xf numFmtId="0" fontId="39" fillId="40" borderId="29" xfId="0" applyFont="1" applyFill="1" applyBorder="1" applyAlignment="1">
      <alignment/>
    </xf>
    <xf numFmtId="0" fontId="0" fillId="40" borderId="29" xfId="0" applyFill="1" applyBorder="1" applyAlignment="1">
      <alignment/>
    </xf>
    <xf numFmtId="0" fontId="39" fillId="39" borderId="29" xfId="0" applyFont="1" applyFill="1" applyBorder="1" applyAlignment="1">
      <alignment/>
    </xf>
    <xf numFmtId="0" fontId="0" fillId="39" borderId="29" xfId="0" applyFill="1" applyBorder="1" applyAlignment="1">
      <alignment/>
    </xf>
    <xf numFmtId="0" fontId="1" fillId="0" borderId="0" xfId="0" applyFont="1" applyBorder="1" applyAlignment="1">
      <alignment/>
    </xf>
    <xf numFmtId="1" fontId="0" fillId="0" borderId="30" xfId="0" applyNumberFormat="1" applyFont="1" applyFill="1" applyBorder="1" applyAlignment="1" applyProtection="1" quotePrefix="1">
      <alignment horizontal="center" wrapText="1"/>
      <protection/>
    </xf>
    <xf numFmtId="1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31" xfId="0" applyFont="1" applyBorder="1" applyAlignment="1">
      <alignment/>
    </xf>
    <xf numFmtId="0" fontId="64" fillId="0" borderId="0" xfId="0" applyFont="1" applyBorder="1" applyAlignment="1">
      <alignment horizontal="left"/>
    </xf>
    <xf numFmtId="1" fontId="64" fillId="0" borderId="0" xfId="0" applyNumberFormat="1" applyFont="1" applyBorder="1" applyAlignment="1">
      <alignment horizontal="center"/>
    </xf>
    <xf numFmtId="16" fontId="0" fillId="0" borderId="41" xfId="0" applyNumberFormat="1" applyFon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>
      <alignment horizontal="right" vertical="center" wrapText="1"/>
    </xf>
    <xf numFmtId="3" fontId="0" fillId="0" borderId="42" xfId="0" applyNumberFormat="1" applyFont="1" applyFill="1" applyBorder="1" applyAlignment="1" applyProtection="1">
      <alignment horizontal="right" vertical="center" wrapText="1"/>
      <protection/>
    </xf>
    <xf numFmtId="0" fontId="42" fillId="0" borderId="31" xfId="0" applyFont="1" applyBorder="1" applyAlignment="1">
      <alignment horizontal="left"/>
    </xf>
    <xf numFmtId="1" fontId="42" fillId="0" borderId="31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3" fontId="42" fillId="0" borderId="0" xfId="0" applyNumberFormat="1" applyFont="1" applyBorder="1" applyAlignment="1">
      <alignment horizontal="center"/>
    </xf>
    <xf numFmtId="1" fontId="42" fillId="0" borderId="31" xfId="0" applyNumberFormat="1" applyFont="1" applyBorder="1" applyAlignment="1">
      <alignment horizontal="left"/>
    </xf>
    <xf numFmtId="2" fontId="42" fillId="0" borderId="31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2" fillId="0" borderId="10" xfId="0" applyNumberFormat="1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2" fillId="0" borderId="13" xfId="0" applyNumberFormat="1" applyFont="1" applyFill="1" applyBorder="1" applyAlignment="1">
      <alignment horizontal="center" vertical="center"/>
    </xf>
    <xf numFmtId="172" fontId="31" fillId="0" borderId="33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 indent="1"/>
    </xf>
    <xf numFmtId="1" fontId="6" fillId="0" borderId="45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left" vertical="center" wrapText="1" indent="1"/>
    </xf>
    <xf numFmtId="3" fontId="6" fillId="0" borderId="45" xfId="0" applyNumberFormat="1" applyFont="1" applyFill="1" applyBorder="1" applyAlignment="1">
      <alignment vertical="center" wrapText="1"/>
    </xf>
    <xf numFmtId="0" fontId="6" fillId="0" borderId="44" xfId="0" applyFont="1" applyBorder="1" applyAlignment="1">
      <alignment horizontal="left" vertical="center" indent="1"/>
    </xf>
    <xf numFmtId="2" fontId="6" fillId="0" borderId="45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left" vertical="center" indent="1"/>
    </xf>
    <xf numFmtId="0" fontId="0" fillId="0" borderId="4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1" fontId="0" fillId="0" borderId="47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left" vertical="center" wrapText="1" indent="1"/>
    </xf>
    <xf numFmtId="3" fontId="0" fillId="0" borderId="47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indent="1"/>
    </xf>
    <xf numFmtId="2" fontId="0" fillId="0" borderId="47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indent="1"/>
    </xf>
    <xf numFmtId="0" fontId="0" fillId="0" borderId="4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1"/>
    </xf>
    <xf numFmtId="1" fontId="0" fillId="0" borderId="49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left" vertical="center" wrapText="1" indent="1"/>
    </xf>
    <xf numFmtId="3" fontId="0" fillId="0" borderId="49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 indent="1"/>
    </xf>
    <xf numFmtId="2" fontId="0" fillId="0" borderId="49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left" vertical="center" inden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inden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left" vertical="center" wrapText="1" indent="1"/>
    </xf>
    <xf numFmtId="3" fontId="0" fillId="0" borderId="13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 indent="1"/>
    </xf>
    <xf numFmtId="2" fontId="0" fillId="0" borderId="1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left" vertical="center" inden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indent="1"/>
    </xf>
    <xf numFmtId="2" fontId="6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indent="1"/>
    </xf>
    <xf numFmtId="2" fontId="0" fillId="0" borderId="10" xfId="0" applyNumberFormat="1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 vertical="center"/>
    </xf>
    <xf numFmtId="2" fontId="2" fillId="0" borderId="37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42" fillId="0" borderId="0" xfId="0" applyFont="1" applyFill="1" applyBorder="1" applyAlignment="1">
      <alignment horizontal="left"/>
    </xf>
    <xf numFmtId="3" fontId="42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left"/>
    </xf>
    <xf numFmtId="0" fontId="42" fillId="0" borderId="31" xfId="0" applyFont="1" applyFill="1" applyBorder="1" applyAlignment="1">
      <alignment horizontal="left"/>
    </xf>
    <xf numFmtId="1" fontId="42" fillId="0" borderId="31" xfId="0" applyNumberFormat="1" applyFont="1" applyFill="1" applyBorder="1" applyAlignment="1">
      <alignment horizontal="center"/>
    </xf>
    <xf numFmtId="0" fontId="70" fillId="35" borderId="0" xfId="0" applyFont="1" applyFill="1" applyAlignment="1">
      <alignment horizontal="left"/>
    </xf>
    <xf numFmtId="2" fontId="42" fillId="0" borderId="0" xfId="0" applyNumberFormat="1" applyFont="1" applyFill="1" applyBorder="1" applyAlignment="1">
      <alignment horizontal="left"/>
    </xf>
    <xf numFmtId="2" fontId="42" fillId="0" borderId="31" xfId="0" applyNumberFormat="1" applyFont="1" applyFill="1" applyBorder="1" applyAlignment="1">
      <alignment horizontal="left"/>
    </xf>
    <xf numFmtId="1" fontId="4" fillId="36" borderId="5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/>
    </xf>
    <xf numFmtId="20" fontId="0" fillId="0" borderId="0" xfId="0" applyNumberFormat="1" applyFont="1" applyBorder="1" applyAlignment="1">
      <alignment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left"/>
    </xf>
    <xf numFmtId="1" fontId="42" fillId="0" borderId="0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 vertical="center"/>
    </xf>
    <xf numFmtId="1" fontId="0" fillId="42" borderId="29" xfId="0" applyNumberFormat="1" applyFont="1" applyFill="1" applyBorder="1" applyAlignment="1" applyProtection="1" quotePrefix="1">
      <alignment horizontal="center" wrapText="1"/>
      <protection/>
    </xf>
    <xf numFmtId="1" fontId="0" fillId="42" borderId="29" xfId="0" applyNumberFormat="1" applyFont="1" applyFill="1" applyBorder="1" applyAlignment="1" applyProtection="1">
      <alignment horizontal="center" wrapText="1"/>
      <protection/>
    </xf>
    <xf numFmtId="1" fontId="0" fillId="42" borderId="30" xfId="0" applyNumberFormat="1" applyFont="1" applyFill="1" applyBorder="1" applyAlignment="1" applyProtection="1">
      <alignment horizontal="center" wrapText="1"/>
      <protection/>
    </xf>
    <xf numFmtId="1" fontId="4" fillId="36" borderId="10" xfId="0" applyNumberFormat="1" applyFont="1" applyFill="1" applyBorder="1" applyAlignment="1" applyProtection="1">
      <alignment horizontal="left" vertical="center"/>
      <protection/>
    </xf>
    <xf numFmtId="0" fontId="2" fillId="0" borderId="29" xfId="0" applyFont="1" applyBorder="1" applyAlignment="1">
      <alignment horizontal="left" vertical="center" wrapText="1" indent="1"/>
    </xf>
    <xf numFmtId="172" fontId="2" fillId="0" borderId="5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 indent="1"/>
    </xf>
    <xf numFmtId="172" fontId="2" fillId="0" borderId="53" xfId="0" applyNumberFormat="1" applyFont="1" applyBorder="1" applyAlignment="1">
      <alignment horizontal="center" vertical="center" wrapText="1"/>
    </xf>
    <xf numFmtId="3" fontId="42" fillId="0" borderId="31" xfId="0" applyNumberFormat="1" applyFont="1" applyBorder="1" applyAlignment="1">
      <alignment horizontal="center"/>
    </xf>
    <xf numFmtId="1" fontId="83" fillId="0" borderId="29" xfId="0" applyNumberFormat="1" applyFont="1" applyFill="1" applyBorder="1" applyAlignment="1" applyProtection="1" quotePrefix="1">
      <alignment horizontal="center" wrapText="1"/>
      <protection/>
    </xf>
    <xf numFmtId="0" fontId="1" fillId="0" borderId="29" xfId="0" applyFont="1" applyBorder="1" applyAlignment="1">
      <alignment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wrapText="1"/>
    </xf>
    <xf numFmtId="1" fontId="4" fillId="36" borderId="29" xfId="0" applyNumberFormat="1" applyFont="1" applyFill="1" applyBorder="1" applyAlignment="1" applyProtection="1">
      <alignment vertical="center"/>
      <protection locked="0"/>
    </xf>
    <xf numFmtId="3" fontId="42" fillId="0" borderId="31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0" fontId="0" fillId="0" borderId="31" xfId="0" applyBorder="1" applyAlignment="1">
      <alignment horizontal="left"/>
    </xf>
    <xf numFmtId="1" fontId="83" fillId="0" borderId="10" xfId="0" applyNumberFormat="1" applyFont="1" applyFill="1" applyBorder="1" applyAlignment="1" applyProtection="1" quotePrefix="1">
      <alignment horizontal="center" vertical="center" wrapText="1"/>
      <protection/>
    </xf>
    <xf numFmtId="1" fontId="4" fillId="0" borderId="13" xfId="0" applyNumberFormat="1" applyFont="1" applyBorder="1" applyAlignment="1" applyProtection="1">
      <alignment vertical="center"/>
      <protection locked="0"/>
    </xf>
    <xf numFmtId="0" fontId="42" fillId="0" borderId="0" xfId="0" applyFont="1" applyBorder="1" applyAlignment="1">
      <alignment horizontal="center"/>
    </xf>
    <xf numFmtId="1" fontId="4" fillId="36" borderId="54" xfId="0" applyNumberFormat="1" applyFont="1" applyFill="1" applyBorder="1" applyAlignment="1" applyProtection="1">
      <alignment vertical="center" wrapText="1"/>
      <protection/>
    </xf>
    <xf numFmtId="3" fontId="83" fillId="0" borderId="10" xfId="0" applyNumberFormat="1" applyFont="1" applyFill="1" applyBorder="1" applyAlignment="1" applyProtection="1" quotePrefix="1">
      <alignment horizontal="center" vertical="center" wrapText="1"/>
      <protection/>
    </xf>
    <xf numFmtId="1" fontId="4" fillId="36" borderId="55" xfId="0" applyNumberFormat="1" applyFont="1" applyFill="1" applyBorder="1" applyAlignment="1" applyProtection="1">
      <alignment horizontal="left" vertical="center" wrapText="1"/>
      <protection/>
    </xf>
    <xf numFmtId="1" fontId="4" fillId="36" borderId="33" xfId="0" applyNumberFormat="1" applyFont="1" applyFill="1" applyBorder="1" applyAlignment="1" applyProtection="1">
      <alignment vertical="center" wrapText="1"/>
      <protection/>
    </xf>
    <xf numFmtId="1" fontId="4" fillId="36" borderId="37" xfId="0" applyNumberFormat="1" applyFont="1" applyFill="1" applyBorder="1" applyAlignment="1" applyProtection="1">
      <alignment vertical="center" wrapText="1"/>
      <protection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5" fillId="43" borderId="57" xfId="0" applyFont="1" applyFill="1" applyBorder="1" applyAlignment="1">
      <alignment horizontal="center" vertical="center"/>
    </xf>
    <xf numFmtId="0" fontId="5" fillId="43" borderId="58" xfId="0" applyFont="1" applyFill="1" applyBorder="1" applyAlignment="1">
      <alignment horizontal="center" vertical="center"/>
    </xf>
    <xf numFmtId="0" fontId="5" fillId="43" borderId="59" xfId="0" applyFont="1" applyFill="1" applyBorder="1" applyAlignment="1">
      <alignment horizontal="center" vertical="center"/>
    </xf>
    <xf numFmtId="0" fontId="6" fillId="43" borderId="17" xfId="0" applyFont="1" applyFill="1" applyBorder="1" applyAlignment="1">
      <alignment horizontal="center" vertical="center"/>
    </xf>
    <xf numFmtId="0" fontId="6" fillId="43" borderId="18" xfId="0" applyFont="1" applyFill="1" applyBorder="1" applyAlignment="1">
      <alignment horizontal="center" vertical="center"/>
    </xf>
    <xf numFmtId="0" fontId="6" fillId="43" borderId="16" xfId="0" applyFont="1" applyFill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6" fillId="44" borderId="1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60" xfId="0" applyNumberFormat="1" applyFont="1" applyFill="1" applyBorder="1" applyAlignment="1">
      <alignment horizontal="center" vertical="center"/>
    </xf>
    <xf numFmtId="3" fontId="2" fillId="0" borderId="61" xfId="0" applyNumberFormat="1" applyFont="1" applyFill="1" applyBorder="1" applyAlignment="1">
      <alignment horizontal="center" vertical="center"/>
    </xf>
    <xf numFmtId="3" fontId="2" fillId="0" borderId="6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63" xfId="0" applyNumberFormat="1" applyFont="1" applyFill="1" applyBorder="1" applyAlignment="1">
      <alignment horizontal="center" vertical="center"/>
    </xf>
    <xf numFmtId="3" fontId="2" fillId="0" borderId="64" xfId="0" applyNumberFormat="1" applyFont="1" applyFill="1" applyBorder="1" applyAlignment="1">
      <alignment horizontal="center" vertical="center"/>
    </xf>
    <xf numFmtId="3" fontId="2" fillId="0" borderId="65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2" fillId="0" borderId="66" xfId="0" applyNumberFormat="1" applyFont="1" applyFill="1" applyBorder="1" applyAlignment="1">
      <alignment horizontal="center" vertical="center"/>
    </xf>
    <xf numFmtId="3" fontId="2" fillId="0" borderId="67" xfId="0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" fontId="2" fillId="0" borderId="65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6" fillId="45" borderId="29" xfId="0" applyFont="1" applyFill="1" applyBorder="1" applyAlignment="1">
      <alignment horizontal="center"/>
    </xf>
    <xf numFmtId="0" fontId="85" fillId="0" borderId="29" xfId="0" applyFont="1" applyBorder="1" applyAlignment="1">
      <alignment horizontal="center"/>
    </xf>
    <xf numFmtId="0" fontId="1" fillId="0" borderId="29" xfId="0" applyFont="1" applyBorder="1" applyAlignment="1">
      <alignment/>
    </xf>
    <xf numFmtId="16" fontId="36" fillId="45" borderId="29" xfId="0" applyNumberFormat="1" applyFont="1" applyFill="1" applyBorder="1" applyAlignment="1">
      <alignment horizontal="center"/>
    </xf>
    <xf numFmtId="0" fontId="36" fillId="45" borderId="0" xfId="0" applyFont="1" applyFill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" fontId="36" fillId="45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48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18</xdr:row>
      <xdr:rowOff>104775</xdr:rowOff>
    </xdr:from>
    <xdr:to>
      <xdr:col>15</xdr:col>
      <xdr:colOff>476250</xdr:colOff>
      <xdr:row>26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4543425"/>
          <a:ext cx="1562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6</xdr:row>
      <xdr:rowOff>38100</xdr:rowOff>
    </xdr:from>
    <xdr:to>
      <xdr:col>13</xdr:col>
      <xdr:colOff>542925</xdr:colOff>
      <xdr:row>10</xdr:row>
      <xdr:rowOff>38100</xdr:rowOff>
    </xdr:to>
    <xdr:sp>
      <xdr:nvSpPr>
        <xdr:cNvPr id="3" name="AutoShape 1"/>
        <xdr:cNvSpPr>
          <a:spLocks/>
        </xdr:cNvSpPr>
      </xdr:nvSpPr>
      <xdr:spPr>
        <a:xfrm>
          <a:off x="7905750" y="19907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485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485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485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4310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7170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3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104775</xdr:rowOff>
    </xdr:from>
    <xdr:to>
      <xdr:col>1</xdr:col>
      <xdr:colOff>1066800</xdr:colOff>
      <xdr:row>1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28</xdr:row>
      <xdr:rowOff>0</xdr:rowOff>
    </xdr:from>
    <xdr:to>
      <xdr:col>10</xdr:col>
      <xdr:colOff>390525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67450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390525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6267450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390525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6267450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3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6</xdr:row>
      <xdr:rowOff>38100</xdr:rowOff>
    </xdr:from>
    <xdr:to>
      <xdr:col>13</xdr:col>
      <xdr:colOff>542925</xdr:colOff>
      <xdr:row>10</xdr:row>
      <xdr:rowOff>38100</xdr:rowOff>
    </xdr:to>
    <xdr:sp>
      <xdr:nvSpPr>
        <xdr:cNvPr id="7" name="AutoShape 1"/>
        <xdr:cNvSpPr>
          <a:spLocks/>
        </xdr:cNvSpPr>
      </xdr:nvSpPr>
      <xdr:spPr>
        <a:xfrm>
          <a:off x="7905750" y="19907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9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10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152400</xdr:rowOff>
    </xdr:from>
    <xdr:to>
      <xdr:col>1</xdr:col>
      <xdr:colOff>1028700</xdr:colOff>
      <xdr:row>1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667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13</xdr:col>
      <xdr:colOff>457200</xdr:colOff>
      <xdr:row>21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6958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457200</xdr:colOff>
      <xdr:row>21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6958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457200</xdr:colOff>
      <xdr:row>21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6958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13</xdr:col>
      <xdr:colOff>457200</xdr:colOff>
      <xdr:row>11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7820025" y="24098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190500</xdr:rowOff>
    </xdr:from>
    <xdr:to>
      <xdr:col>4</xdr:col>
      <xdr:colOff>161925</xdr:colOff>
      <xdr:row>20</xdr:row>
      <xdr:rowOff>66675</xdr:rowOff>
    </xdr:to>
    <xdr:sp>
      <xdr:nvSpPr>
        <xdr:cNvPr id="6" name="Tekstfelt 1"/>
        <xdr:cNvSpPr txBox="1">
          <a:spLocks noChangeArrowheads="1"/>
        </xdr:cNvSpPr>
      </xdr:nvSpPr>
      <xdr:spPr>
        <a:xfrm>
          <a:off x="1733550" y="4886325"/>
          <a:ext cx="1647825" cy="333375"/>
        </a:xfrm>
        <a:prstGeom prst="rect">
          <a:avLst/>
        </a:prstGeom>
        <a:solidFill>
          <a:srgbClr val="008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Puts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omregnet til 18 huller!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13</xdr:col>
      <xdr:colOff>457200</xdr:colOff>
      <xdr:row>11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7820025" y="24098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66675</xdr:rowOff>
    </xdr:from>
    <xdr:to>
      <xdr:col>0</xdr:col>
      <xdr:colOff>1181100</xdr:colOff>
      <xdr:row>1</xdr:row>
      <xdr:rowOff>314325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733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66675</xdr:rowOff>
    </xdr:from>
    <xdr:to>
      <xdr:col>1</xdr:col>
      <xdr:colOff>942975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1</xdr:row>
      <xdr:rowOff>66675</xdr:rowOff>
    </xdr:from>
    <xdr:to>
      <xdr:col>1</xdr:col>
      <xdr:colOff>942975</xdr:colOff>
      <xdr:row>1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13</xdr:col>
      <xdr:colOff>457200</xdr:colOff>
      <xdr:row>11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7820025" y="24098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38100</xdr:rowOff>
    </xdr:from>
    <xdr:to>
      <xdr:col>0</xdr:col>
      <xdr:colOff>1200150</xdr:colOff>
      <xdr:row>1</xdr:row>
      <xdr:rowOff>333375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100"/>
          <a:ext cx="752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13</xdr:col>
      <xdr:colOff>457200</xdr:colOff>
      <xdr:row>11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7820025" y="24098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76200</xdr:rowOff>
    </xdr:from>
    <xdr:to>
      <xdr:col>0</xdr:col>
      <xdr:colOff>1181100</xdr:colOff>
      <xdr:row>1</xdr:row>
      <xdr:rowOff>314325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7820025" y="7058025"/>
          <a:ext cx="952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66675</xdr:rowOff>
    </xdr:from>
    <xdr:to>
      <xdr:col>1</xdr:col>
      <xdr:colOff>942975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1</xdr:row>
      <xdr:rowOff>66675</xdr:rowOff>
    </xdr:from>
    <xdr:to>
      <xdr:col>1</xdr:col>
      <xdr:colOff>942975</xdr:colOff>
      <xdr:row>1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104775</xdr:rowOff>
    </xdr:from>
    <xdr:to>
      <xdr:col>1</xdr:col>
      <xdr:colOff>704850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524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</xdr:row>
      <xdr:rowOff>114300</xdr:rowOff>
    </xdr:from>
    <xdr:to>
      <xdr:col>6</xdr:col>
      <xdr:colOff>828675</xdr:colOff>
      <xdr:row>1</xdr:row>
      <xdr:rowOff>628650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619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9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10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9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10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9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10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KMM1\Documents\Inngolf\InnGolf%202014\InnGolf%20Turkish%20Invitatio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 FINAL"/>
    </sheetNames>
    <sheetDataSet>
      <sheetData sheetId="0">
        <row r="10">
          <cell r="A10" t="str">
            <v>Jan Hegner</v>
          </cell>
          <cell r="B10">
            <v>12.4</v>
          </cell>
          <cell r="C10">
            <v>24</v>
          </cell>
          <cell r="D10">
            <v>29</v>
          </cell>
          <cell r="E10">
            <v>27</v>
          </cell>
          <cell r="F10">
            <v>80</v>
          </cell>
          <cell r="G10">
            <v>7</v>
          </cell>
        </row>
        <row r="11">
          <cell r="A11" t="str">
            <v>Karsten Valeur</v>
          </cell>
          <cell r="B11">
            <v>14.2</v>
          </cell>
          <cell r="C11">
            <v>26</v>
          </cell>
          <cell r="D11">
            <v>23</v>
          </cell>
          <cell r="E11">
            <v>31</v>
          </cell>
          <cell r="F11">
            <v>80</v>
          </cell>
          <cell r="G11">
            <v>8</v>
          </cell>
        </row>
        <row r="12">
          <cell r="A12" t="str">
            <v>Jesper Vohs Nielsen</v>
          </cell>
          <cell r="B12">
            <v>13.8</v>
          </cell>
          <cell r="C12">
            <v>28</v>
          </cell>
          <cell r="D12">
            <v>30</v>
          </cell>
          <cell r="E12">
            <v>20</v>
          </cell>
          <cell r="F12">
            <v>78</v>
          </cell>
          <cell r="G12">
            <v>9</v>
          </cell>
        </row>
        <row r="13">
          <cell r="A13" t="str">
            <v>Henning B. Nielsen</v>
          </cell>
          <cell r="B13">
            <v>14.6</v>
          </cell>
          <cell r="C13">
            <v>27</v>
          </cell>
          <cell r="D13">
            <v>22</v>
          </cell>
          <cell r="E13">
            <v>27</v>
          </cell>
          <cell r="F13">
            <v>76</v>
          </cell>
          <cell r="G13">
            <v>10</v>
          </cell>
        </row>
        <row r="14">
          <cell r="A14" t="str">
            <v>Morten Clausen</v>
          </cell>
          <cell r="B14">
            <v>18</v>
          </cell>
          <cell r="C14">
            <v>25</v>
          </cell>
          <cell r="D14">
            <v>22</v>
          </cell>
          <cell r="E14">
            <v>28</v>
          </cell>
          <cell r="F14">
            <v>75</v>
          </cell>
          <cell r="G1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B1:Q30"/>
  <sheetViews>
    <sheetView tabSelected="1" zoomScalePageLayoutView="0" workbookViewId="0" topLeftCell="B1">
      <selection activeCell="B1" sqref="B1:P1"/>
    </sheetView>
  </sheetViews>
  <sheetFormatPr defaultColWidth="9.140625" defaultRowHeight="12.75"/>
  <cols>
    <col min="1" max="1" width="0" style="1" hidden="1" customWidth="1"/>
    <col min="2" max="2" width="4.7109375" style="1" customWidth="1"/>
    <col min="3" max="3" width="20.28125" style="2" customWidth="1"/>
    <col min="4" max="4" width="6.8515625" style="3" customWidth="1"/>
    <col min="5" max="5" width="5.421875" style="3" customWidth="1"/>
    <col min="6" max="6" width="4.7109375" style="1" customWidth="1"/>
    <col min="7" max="7" width="20.28125" style="1" customWidth="1"/>
    <col min="8" max="8" width="12.421875" style="4" customWidth="1"/>
    <col min="9" max="9" width="5.421875" style="1" customWidth="1"/>
    <col min="10" max="10" width="4.7109375" style="1" customWidth="1"/>
    <col min="11" max="11" width="20.28125" style="1" customWidth="1"/>
    <col min="12" max="12" width="8.140625" style="5" customWidth="1"/>
    <col min="13" max="13" width="5.7109375" style="1" customWidth="1"/>
    <col min="14" max="14" width="4.7109375" style="1" customWidth="1"/>
    <col min="15" max="15" width="14.421875" style="1" customWidth="1"/>
    <col min="16" max="16" width="9.7109375" style="5" customWidth="1"/>
    <col min="17" max="16384" width="9.140625" style="1" customWidth="1"/>
  </cols>
  <sheetData>
    <row r="1" spans="2:16" ht="43.5" customHeight="1">
      <c r="B1" s="480" t="s">
        <v>178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</row>
    <row r="2" spans="2:16" s="6" customFormat="1" ht="18" customHeight="1" thickBot="1">
      <c r="B2" s="481" t="s">
        <v>0</v>
      </c>
      <c r="C2" s="482"/>
      <c r="D2" s="483"/>
      <c r="E2" s="7"/>
      <c r="F2" s="481" t="s">
        <v>1</v>
      </c>
      <c r="G2" s="482"/>
      <c r="H2" s="483"/>
      <c r="J2" s="481" t="s">
        <v>2</v>
      </c>
      <c r="K2" s="482"/>
      <c r="L2" s="483"/>
      <c r="N2" s="481" t="s">
        <v>3</v>
      </c>
      <c r="O2" s="482"/>
      <c r="P2" s="483"/>
    </row>
    <row r="3" spans="2:16" ht="18" customHeight="1">
      <c r="B3" s="365">
        <v>1</v>
      </c>
      <c r="C3" s="366" t="str">
        <f>Point!B3</f>
        <v>Robin T</v>
      </c>
      <c r="D3" s="367">
        <f>Point!C3</f>
        <v>127</v>
      </c>
      <c r="E3" s="88"/>
      <c r="F3" s="368">
        <v>1</v>
      </c>
      <c r="G3" s="369" t="str">
        <f>Money!B3</f>
        <v>Robin T</v>
      </c>
      <c r="H3" s="370">
        <f>Money!C3</f>
        <v>26710000</v>
      </c>
      <c r="I3" s="88"/>
      <c r="J3" s="368">
        <v>1</v>
      </c>
      <c r="K3" s="371" t="str">
        <f>Puts!B3</f>
        <v>Robin T</v>
      </c>
      <c r="L3" s="372">
        <f>Puts!C3</f>
        <v>29.666666666666668</v>
      </c>
      <c r="M3" s="88"/>
      <c r="N3" s="368">
        <v>1</v>
      </c>
      <c r="O3" s="373" t="str">
        <f>'Tæt-flag'!B3</f>
        <v>Jesper VN</v>
      </c>
      <c r="P3" s="372">
        <f>'Tæt-flag'!C3</f>
        <v>0.72</v>
      </c>
    </row>
    <row r="4" spans="2:16" ht="18" customHeight="1">
      <c r="B4" s="374">
        <v>2</v>
      </c>
      <c r="C4" s="375" t="str">
        <f>Point!B4</f>
        <v>Jesper VN</v>
      </c>
      <c r="D4" s="376">
        <f>Point!C4</f>
        <v>102</v>
      </c>
      <c r="E4" s="88"/>
      <c r="F4" s="377">
        <v>2</v>
      </c>
      <c r="G4" s="378" t="str">
        <f>Money!B4</f>
        <v>Jakob K</v>
      </c>
      <c r="H4" s="379">
        <f>Money!C4</f>
        <v>20470000</v>
      </c>
      <c r="I4" s="88"/>
      <c r="J4" s="377">
        <v>2</v>
      </c>
      <c r="K4" s="380" t="str">
        <f>Puts!B4</f>
        <v>Erik P</v>
      </c>
      <c r="L4" s="381">
        <f>Puts!C4</f>
        <v>31.61111111111111</v>
      </c>
      <c r="M4" s="88"/>
      <c r="N4" s="377">
        <v>2</v>
      </c>
      <c r="O4" s="382" t="str">
        <f>'Tæt-flag'!B4</f>
        <v>Jakob K</v>
      </c>
      <c r="P4" s="381">
        <f>'Tæt-flag'!C4</f>
        <v>0.86</v>
      </c>
    </row>
    <row r="5" spans="2:16" ht="18" customHeight="1" thickBot="1">
      <c r="B5" s="383">
        <v>3</v>
      </c>
      <c r="C5" s="384" t="str">
        <f>Point!B5</f>
        <v>Morten C</v>
      </c>
      <c r="D5" s="385">
        <f>Point!C5</f>
        <v>97</v>
      </c>
      <c r="E5" s="88"/>
      <c r="F5" s="386">
        <v>3</v>
      </c>
      <c r="G5" s="387" t="str">
        <f>Money!B5</f>
        <v>Jesper VN</v>
      </c>
      <c r="H5" s="388">
        <f>Money!C5</f>
        <v>19400000</v>
      </c>
      <c r="I5" s="88"/>
      <c r="J5" s="386">
        <v>3</v>
      </c>
      <c r="K5" s="389" t="str">
        <f>Puts!B5</f>
        <v>Jesper VN</v>
      </c>
      <c r="L5" s="390">
        <f>Puts!C5</f>
        <v>31.77777777777778</v>
      </c>
      <c r="M5" s="88"/>
      <c r="N5" s="386">
        <v>3</v>
      </c>
      <c r="O5" s="391" t="str">
        <f>'Tæt-flag'!B5</f>
        <v>Jan H</v>
      </c>
      <c r="P5" s="390">
        <f>'Tæt-flag'!C5</f>
        <v>1.45</v>
      </c>
    </row>
    <row r="6" spans="2:16" ht="18" customHeight="1">
      <c r="B6" s="392">
        <v>4</v>
      </c>
      <c r="C6" s="393" t="str">
        <f>Point!B6</f>
        <v>Jakob K</v>
      </c>
      <c r="D6" s="394">
        <f>Point!C6</f>
        <v>97</v>
      </c>
      <c r="E6" s="88"/>
      <c r="F6" s="395">
        <v>4</v>
      </c>
      <c r="G6" s="396" t="str">
        <f>Money!B6</f>
        <v>Karsten V</v>
      </c>
      <c r="H6" s="397">
        <f>Money!C6</f>
        <v>19190000</v>
      </c>
      <c r="I6" s="88"/>
      <c r="J6" s="395">
        <v>4</v>
      </c>
      <c r="K6" s="398" t="str">
        <f>Puts!B6</f>
        <v>Jakob K</v>
      </c>
      <c r="L6" s="399">
        <f>Puts!C6</f>
        <v>31.833333333333332</v>
      </c>
      <c r="M6" s="88"/>
      <c r="N6" s="395">
        <v>4</v>
      </c>
      <c r="O6" s="400" t="str">
        <f>'Tæt-flag'!B6</f>
        <v>Erik P</v>
      </c>
      <c r="P6" s="399">
        <f>'Tæt-flag'!C6</f>
        <v>1.53</v>
      </c>
    </row>
    <row r="7" spans="2:16" ht="18" customHeight="1">
      <c r="B7" s="401">
        <v>5</v>
      </c>
      <c r="C7" s="393" t="str">
        <f>Point!B7</f>
        <v>Karsten V</v>
      </c>
      <c r="D7" s="394">
        <f>Point!C7</f>
        <v>96</v>
      </c>
      <c r="E7" s="88"/>
      <c r="F7" s="402">
        <v>5</v>
      </c>
      <c r="G7" s="396" t="str">
        <f>Money!B7</f>
        <v>Jan H</v>
      </c>
      <c r="H7" s="397">
        <f>Money!C7</f>
        <v>18620000</v>
      </c>
      <c r="I7" s="88"/>
      <c r="J7" s="402">
        <v>5</v>
      </c>
      <c r="K7" s="380" t="str">
        <f>Puts!B7</f>
        <v>Jan H</v>
      </c>
      <c r="L7" s="403">
        <f>Puts!C7</f>
        <v>31.944444444444443</v>
      </c>
      <c r="M7" s="88"/>
      <c r="N7" s="402">
        <v>5</v>
      </c>
      <c r="O7" s="382" t="str">
        <f>'Tæt-flag'!B7</f>
        <v>Robin T</v>
      </c>
      <c r="P7" s="403">
        <f>'Tæt-flag'!C7</f>
        <v>1.58</v>
      </c>
    </row>
    <row r="8" spans="2:16" ht="18" customHeight="1">
      <c r="B8" s="401">
        <v>6</v>
      </c>
      <c r="C8" s="393" t="str">
        <f>Point!B8</f>
        <v>Jan H</v>
      </c>
      <c r="D8" s="394">
        <f>Point!C8</f>
        <v>93</v>
      </c>
      <c r="E8" s="88"/>
      <c r="F8" s="402">
        <v>6</v>
      </c>
      <c r="G8" s="396" t="str">
        <f>Money!B8</f>
        <v>Morten C</v>
      </c>
      <c r="H8" s="397">
        <f>Money!C8</f>
        <v>18380000</v>
      </c>
      <c r="I8" s="88"/>
      <c r="J8" s="402">
        <v>6</v>
      </c>
      <c r="K8" s="398" t="str">
        <f>Puts!B8</f>
        <v>Karsten V</v>
      </c>
      <c r="L8" s="399">
        <f>Puts!C8</f>
        <v>32.388888888888886</v>
      </c>
      <c r="M8" s="88"/>
      <c r="N8" s="402">
        <v>6</v>
      </c>
      <c r="O8" s="382" t="str">
        <f>'Tæt-flag'!B8</f>
        <v>Børge H</v>
      </c>
      <c r="P8" s="403">
        <f>'Tæt-flag'!C8</f>
        <v>1.58</v>
      </c>
    </row>
    <row r="9" spans="2:16" ht="18" customHeight="1">
      <c r="B9" s="401">
        <v>7</v>
      </c>
      <c r="C9" s="393" t="str">
        <f>Point!B9</f>
        <v>Børge H</v>
      </c>
      <c r="D9" s="394">
        <f>Point!C9</f>
        <v>89</v>
      </c>
      <c r="E9" s="88"/>
      <c r="F9" s="402">
        <v>7</v>
      </c>
      <c r="G9" s="396" t="str">
        <f>Money!B9</f>
        <v>Børge H</v>
      </c>
      <c r="H9" s="397">
        <f>Money!C9</f>
        <v>16910000</v>
      </c>
      <c r="I9" s="88"/>
      <c r="J9" s="402">
        <v>7</v>
      </c>
      <c r="K9" s="380" t="str">
        <f>Puts!B9</f>
        <v>Børge H</v>
      </c>
      <c r="L9" s="403">
        <f>Puts!C9</f>
        <v>32.55555555555556</v>
      </c>
      <c r="M9" s="88"/>
      <c r="N9" s="402">
        <v>7</v>
      </c>
      <c r="O9" s="382" t="str">
        <f>'Tæt-flag'!B9</f>
        <v>Claus J</v>
      </c>
      <c r="P9" s="403">
        <f>'Tæt-flag'!C9</f>
        <v>1.62</v>
      </c>
    </row>
    <row r="10" spans="2:16" ht="18" customHeight="1">
      <c r="B10" s="401">
        <v>8</v>
      </c>
      <c r="C10" s="393" t="str">
        <f>Point!B10</f>
        <v>John S</v>
      </c>
      <c r="D10" s="394">
        <f>Point!C10</f>
        <v>71</v>
      </c>
      <c r="E10" s="88"/>
      <c r="F10" s="402">
        <v>8</v>
      </c>
      <c r="G10" s="396" t="str">
        <f>Money!B10</f>
        <v>Erik P</v>
      </c>
      <c r="H10" s="397">
        <f>Money!C10</f>
        <v>13790000</v>
      </c>
      <c r="I10" s="88"/>
      <c r="J10" s="402">
        <v>8</v>
      </c>
      <c r="K10" s="398" t="str">
        <f>Puts!B10</f>
        <v>Morten C</v>
      </c>
      <c r="L10" s="399">
        <f>Puts!C10</f>
        <v>32.94444444444444</v>
      </c>
      <c r="M10" s="88"/>
      <c r="N10" s="402">
        <v>8</v>
      </c>
      <c r="O10" s="382" t="str">
        <f>'Tæt-flag'!B10</f>
        <v>Karsten V</v>
      </c>
      <c r="P10" s="403">
        <f>'Tæt-flag'!C10</f>
        <v>1.76</v>
      </c>
    </row>
    <row r="11" spans="2:16" ht="18" customHeight="1">
      <c r="B11" s="401">
        <v>9</v>
      </c>
      <c r="C11" s="393" t="str">
        <f>Point!B11</f>
        <v>Martin A</v>
      </c>
      <c r="D11" s="394">
        <f>Point!C11</f>
        <v>71</v>
      </c>
      <c r="E11" s="88"/>
      <c r="F11" s="402">
        <v>9</v>
      </c>
      <c r="G11" s="396" t="str">
        <f>Money!B11</f>
        <v>Bo H</v>
      </c>
      <c r="H11" s="397">
        <f>Money!C11</f>
        <v>11910000</v>
      </c>
      <c r="I11" s="88"/>
      <c r="J11" s="402">
        <v>9</v>
      </c>
      <c r="K11" s="380" t="str">
        <f>Puts!B11</f>
        <v>John S</v>
      </c>
      <c r="L11" s="403">
        <f>Puts!C11</f>
        <v>33.72222222222222</v>
      </c>
      <c r="M11" s="88"/>
      <c r="N11" s="402">
        <v>9</v>
      </c>
      <c r="O11" s="382" t="str">
        <f>'Tæt-flag'!B11</f>
        <v>Karsten V</v>
      </c>
      <c r="P11" s="403">
        <f>'Tæt-flag'!C11</f>
        <v>1.77</v>
      </c>
    </row>
    <row r="12" spans="2:16" ht="18" customHeight="1">
      <c r="B12" s="401">
        <v>10</v>
      </c>
      <c r="C12" s="393" t="str">
        <f>Point!B12</f>
        <v>Bo H</v>
      </c>
      <c r="D12" s="394">
        <f>Point!C12</f>
        <v>68</v>
      </c>
      <c r="E12" s="88"/>
      <c r="F12" s="402">
        <v>10</v>
      </c>
      <c r="G12" s="396" t="str">
        <f>Money!B12</f>
        <v>Steen N</v>
      </c>
      <c r="H12" s="397">
        <f>Money!C12</f>
        <v>11360000</v>
      </c>
      <c r="I12" s="88"/>
      <c r="J12" s="402">
        <v>10</v>
      </c>
      <c r="K12" s="398" t="str">
        <f>Puts!B12</f>
        <v>Torben J</v>
      </c>
      <c r="L12" s="399">
        <f>Puts!C12</f>
        <v>34.388888888888886</v>
      </c>
      <c r="M12" s="88"/>
      <c r="N12" s="402">
        <v>10</v>
      </c>
      <c r="O12" s="382" t="str">
        <f>'Tæt-flag'!B12</f>
        <v>Robin T</v>
      </c>
      <c r="P12" s="403">
        <f>'Tæt-flag'!C12</f>
        <v>2.21</v>
      </c>
    </row>
    <row r="13" spans="2:16" ht="18" customHeight="1">
      <c r="B13" s="401">
        <v>11</v>
      </c>
      <c r="C13" s="393" t="str">
        <f>Point!B13</f>
        <v>Erik P</v>
      </c>
      <c r="D13" s="394">
        <f>Point!C13</f>
        <v>64</v>
      </c>
      <c r="E13" s="88"/>
      <c r="F13" s="402">
        <v>11</v>
      </c>
      <c r="G13" s="396" t="str">
        <f>Money!B13</f>
        <v>John S</v>
      </c>
      <c r="H13" s="397">
        <f>Money!C13</f>
        <v>11280000</v>
      </c>
      <c r="I13" s="88"/>
      <c r="J13" s="402">
        <v>11</v>
      </c>
      <c r="K13" s="380" t="str">
        <f>Puts!B13</f>
        <v>Steen N</v>
      </c>
      <c r="L13" s="403">
        <f>Puts!C13</f>
        <v>34.72222222222222</v>
      </c>
      <c r="M13" s="88"/>
      <c r="N13" s="404"/>
      <c r="O13" s="405"/>
      <c r="P13" s="406"/>
    </row>
    <row r="14" spans="2:16" ht="18" customHeight="1">
      <c r="B14" s="401">
        <v>12</v>
      </c>
      <c r="C14" s="393" t="str">
        <f>Point!B14</f>
        <v>Steen N</v>
      </c>
      <c r="D14" s="394">
        <f>Point!C14</f>
        <v>58</v>
      </c>
      <c r="E14" s="88"/>
      <c r="F14" s="402">
        <v>12</v>
      </c>
      <c r="G14" s="396" t="str">
        <f>Money!B14</f>
        <v>Martin A</v>
      </c>
      <c r="H14" s="397">
        <f>Money!C14</f>
        <v>11000000</v>
      </c>
      <c r="I14" s="88"/>
      <c r="J14" s="402">
        <v>12</v>
      </c>
      <c r="K14" s="398" t="str">
        <f>Puts!B14</f>
        <v>Carsten D</v>
      </c>
      <c r="L14" s="399">
        <f>Puts!C14</f>
        <v>34.72222222222222</v>
      </c>
      <c r="M14" s="88"/>
      <c r="N14" s="484" t="s">
        <v>4</v>
      </c>
      <c r="O14" s="485"/>
      <c r="P14" s="486"/>
    </row>
    <row r="15" spans="2:16" ht="18" customHeight="1">
      <c r="B15" s="401">
        <v>13</v>
      </c>
      <c r="C15" s="393" t="str">
        <f>Point!B15</f>
        <v>Carsten D</v>
      </c>
      <c r="D15" s="394">
        <f>Point!C15</f>
        <v>56</v>
      </c>
      <c r="E15" s="88"/>
      <c r="F15" s="402">
        <v>13</v>
      </c>
      <c r="G15" s="396" t="str">
        <f>Money!B15</f>
        <v>Carsten D</v>
      </c>
      <c r="H15" s="397">
        <f>Money!C15</f>
        <v>10500000</v>
      </c>
      <c r="I15" s="88"/>
      <c r="J15" s="402">
        <v>13</v>
      </c>
      <c r="K15" s="380" t="str">
        <f>Puts!B15</f>
        <v>Hans MV</v>
      </c>
      <c r="L15" s="403">
        <f>Puts!C15</f>
        <v>34.77777777777778</v>
      </c>
      <c r="M15" s="88"/>
      <c r="N15" s="407">
        <v>1</v>
      </c>
      <c r="O15" s="408" t="str">
        <f>'Tæt-flag'!G3</f>
        <v>Robin</v>
      </c>
      <c r="P15" s="409" t="str">
        <f>'Tæt-flag'!H3</f>
        <v>Skoven</v>
      </c>
    </row>
    <row r="16" spans="2:16" ht="18" customHeight="1">
      <c r="B16" s="401">
        <v>14</v>
      </c>
      <c r="C16" s="393" t="str">
        <f>Point!B16</f>
        <v>Torben J</v>
      </c>
      <c r="D16" s="394">
        <f>Point!C16</f>
        <v>53</v>
      </c>
      <c r="E16" s="88"/>
      <c r="F16" s="402">
        <v>14</v>
      </c>
      <c r="G16" s="396" t="str">
        <f>Money!B16</f>
        <v>Torben J</v>
      </c>
      <c r="H16" s="397">
        <f>Money!C16</f>
        <v>9890000</v>
      </c>
      <c r="I16" s="88"/>
      <c r="J16" s="402">
        <v>14</v>
      </c>
      <c r="K16" s="398" t="str">
        <f>Puts!B16</f>
        <v>Ole M</v>
      </c>
      <c r="L16" s="399">
        <f>Puts!C16</f>
        <v>35.27777777777778</v>
      </c>
      <c r="M16" s="88"/>
      <c r="N16" s="410">
        <v>2</v>
      </c>
      <c r="O16" s="411" t="str">
        <f>'Tæt-flag'!G4</f>
        <v>Jens</v>
      </c>
      <c r="P16" s="412" t="str">
        <f>'Tæt-flag'!H4</f>
        <v>Gyttegård</v>
      </c>
    </row>
    <row r="17" spans="2:16" ht="18" customHeight="1">
      <c r="B17" s="401">
        <v>15</v>
      </c>
      <c r="C17" s="393" t="str">
        <f>Point!B17</f>
        <v>Claus J</v>
      </c>
      <c r="D17" s="394">
        <f>Point!C17</f>
        <v>44</v>
      </c>
      <c r="E17" s="88"/>
      <c r="F17" s="402">
        <v>15</v>
      </c>
      <c r="G17" s="396" t="str">
        <f>Money!B17</f>
        <v>Claus J</v>
      </c>
      <c r="H17" s="397">
        <f>Money!C17</f>
        <v>8470000</v>
      </c>
      <c r="I17" s="88"/>
      <c r="J17" s="402">
        <v>15</v>
      </c>
      <c r="K17" s="380" t="str">
        <f>Puts!B17</f>
        <v>Martin A</v>
      </c>
      <c r="L17" s="403">
        <f>Puts!C17</f>
        <v>35.388888888888886</v>
      </c>
      <c r="M17" s="88"/>
      <c r="N17" s="410">
        <v>3</v>
      </c>
      <c r="O17" s="411" t="str">
        <f>'Tæt-flag'!G5</f>
        <v>Jan H</v>
      </c>
      <c r="P17" s="412" t="str">
        <f>'Tæt-flag'!H5</f>
        <v>Haderslev</v>
      </c>
    </row>
    <row r="18" spans="2:16" ht="18" customHeight="1">
      <c r="B18" s="401">
        <v>16</v>
      </c>
      <c r="C18" s="393" t="str">
        <f>Point!B18</f>
        <v>Hans MV</v>
      </c>
      <c r="D18" s="394">
        <f>Point!C18</f>
        <v>38</v>
      </c>
      <c r="E18" s="88"/>
      <c r="F18" s="402">
        <v>16</v>
      </c>
      <c r="G18" s="396" t="str">
        <f>Money!B18</f>
        <v>Finn EC</v>
      </c>
      <c r="H18" s="397">
        <f>Money!C18</f>
        <v>8240000</v>
      </c>
      <c r="I18" s="88"/>
      <c r="J18" s="402">
        <v>16</v>
      </c>
      <c r="K18" s="398" t="str">
        <f>Puts!B18</f>
        <v>Claus J</v>
      </c>
      <c r="L18" s="399">
        <f>Puts!C18</f>
        <v>35.72222222222222</v>
      </c>
      <c r="M18" s="88"/>
      <c r="N18" s="88"/>
      <c r="O18" s="88"/>
      <c r="P18" s="88"/>
    </row>
    <row r="19" spans="2:16" ht="18" customHeight="1">
      <c r="B19" s="401">
        <v>17</v>
      </c>
      <c r="C19" s="393" t="str">
        <f>Point!B19</f>
        <v>Jens L</v>
      </c>
      <c r="D19" s="394">
        <f>Point!C19</f>
        <v>35</v>
      </c>
      <c r="E19" s="88"/>
      <c r="F19" s="402">
        <v>17</v>
      </c>
      <c r="G19" s="396" t="str">
        <f>Money!B19</f>
        <v>Jens L</v>
      </c>
      <c r="H19" s="397">
        <f>Money!C19</f>
        <v>7140000</v>
      </c>
      <c r="I19" s="88"/>
      <c r="J19" s="402">
        <v>17</v>
      </c>
      <c r="K19" s="380" t="str">
        <f>Puts!B19</f>
        <v>Per N</v>
      </c>
      <c r="L19" s="403">
        <f>Puts!C19</f>
        <v>35.833333333333336</v>
      </c>
      <c r="M19" s="88"/>
      <c r="N19" s="404"/>
      <c r="O19" s="405"/>
      <c r="P19" s="406"/>
    </row>
    <row r="20" spans="2:16" ht="18" customHeight="1">
      <c r="B20" s="401">
        <v>18</v>
      </c>
      <c r="C20" s="393" t="str">
        <f>Point!B20</f>
        <v>Finn EC</v>
      </c>
      <c r="D20" s="394">
        <f>Point!C20</f>
        <v>34</v>
      </c>
      <c r="E20" s="88"/>
      <c r="F20" s="402">
        <v>18</v>
      </c>
      <c r="G20" s="396" t="str">
        <f>Money!B20</f>
        <v>Hans MV</v>
      </c>
      <c r="H20" s="397">
        <f>Money!C20</f>
        <v>6540000</v>
      </c>
      <c r="I20" s="88"/>
      <c r="J20" s="402">
        <v>18</v>
      </c>
      <c r="K20" s="398" t="str">
        <f>Puts!B20</f>
        <v>Jens L</v>
      </c>
      <c r="L20" s="399">
        <f>Puts!C20</f>
        <v>35.833333333333336</v>
      </c>
      <c r="M20" s="88"/>
      <c r="N20" s="404"/>
      <c r="O20" s="405"/>
      <c r="P20" s="406"/>
    </row>
    <row r="21" spans="2:16" ht="18" customHeight="1">
      <c r="B21" s="401">
        <v>19</v>
      </c>
      <c r="C21" s="393" t="str">
        <f>Point!B21</f>
        <v>Henning V</v>
      </c>
      <c r="D21" s="394">
        <f>Point!C21</f>
        <v>27</v>
      </c>
      <c r="E21" s="88"/>
      <c r="F21" s="402">
        <v>19</v>
      </c>
      <c r="G21" s="396" t="str">
        <f>Money!B21</f>
        <v>Carsten L</v>
      </c>
      <c r="H21" s="397">
        <f>Money!C21</f>
        <v>5150000</v>
      </c>
      <c r="I21" s="88"/>
      <c r="J21" s="402">
        <v>19</v>
      </c>
      <c r="K21" s="380" t="str">
        <f>Puts!B21</f>
        <v>Henning B</v>
      </c>
      <c r="L21" s="403">
        <f>Puts!C21</f>
        <v>36.111111111111114</v>
      </c>
      <c r="M21" s="88"/>
      <c r="N21" s="211"/>
      <c r="O21" s="211"/>
      <c r="P21" s="211"/>
    </row>
    <row r="22" spans="2:16" ht="18" customHeight="1">
      <c r="B22" s="401">
        <v>20</v>
      </c>
      <c r="C22" s="393" t="str">
        <f>Point!B22</f>
        <v>Ole M</v>
      </c>
      <c r="D22" s="394">
        <f>Point!C22</f>
        <v>25</v>
      </c>
      <c r="E22" s="88"/>
      <c r="F22" s="402">
        <v>20</v>
      </c>
      <c r="G22" s="396" t="str">
        <f>Money!B22</f>
        <v>Henning V</v>
      </c>
      <c r="H22" s="397">
        <f>Money!C22</f>
        <v>5140000</v>
      </c>
      <c r="I22" s="88"/>
      <c r="J22" s="402">
        <v>20</v>
      </c>
      <c r="K22" s="398" t="str">
        <f>Puts!B22</f>
        <v>Finn EC</v>
      </c>
      <c r="L22" s="399">
        <f>Puts!C22</f>
        <v>36.111111111111114</v>
      </c>
      <c r="M22" s="88"/>
      <c r="N22" s="413"/>
      <c r="O22" s="414"/>
      <c r="P22" s="415"/>
    </row>
    <row r="23" spans="2:16" ht="18" customHeight="1">
      <c r="B23" s="401">
        <v>21</v>
      </c>
      <c r="C23" s="393" t="str">
        <f>Point!B23</f>
        <v>Carsten L</v>
      </c>
      <c r="D23" s="394">
        <f>Point!C23</f>
        <v>17</v>
      </c>
      <c r="E23" s="88"/>
      <c r="F23" s="402">
        <v>21</v>
      </c>
      <c r="G23" s="396" t="str">
        <f>Money!B23</f>
        <v>Ole M</v>
      </c>
      <c r="H23" s="397">
        <f>Money!C23</f>
        <v>5040000</v>
      </c>
      <c r="I23" s="88"/>
      <c r="J23" s="402">
        <v>21</v>
      </c>
      <c r="K23" s="380" t="str">
        <f>Puts!B23</f>
        <v>Carsten L</v>
      </c>
      <c r="L23" s="403">
        <f>Puts!C23</f>
        <v>36.333333333333336</v>
      </c>
      <c r="M23" s="88"/>
      <c r="N23" s="413"/>
      <c r="O23" s="414"/>
      <c r="P23" s="415"/>
    </row>
    <row r="24" spans="2:16" ht="18" customHeight="1">
      <c r="B24" s="401">
        <v>22</v>
      </c>
      <c r="C24" s="393" t="str">
        <f>Point!B24</f>
        <v>Per N</v>
      </c>
      <c r="D24" s="394">
        <f>Point!C24</f>
        <v>14</v>
      </c>
      <c r="E24" s="88"/>
      <c r="F24" s="402">
        <v>22</v>
      </c>
      <c r="G24" s="396" t="str">
        <f>Money!B24</f>
        <v>Per N</v>
      </c>
      <c r="H24" s="397">
        <f>Money!C24</f>
        <v>3890000</v>
      </c>
      <c r="I24" s="88"/>
      <c r="J24" s="402">
        <v>22</v>
      </c>
      <c r="K24" s="398" t="str">
        <f>Puts!B24</f>
        <v>Henning V</v>
      </c>
      <c r="L24" s="399">
        <f>Puts!C24</f>
        <v>37</v>
      </c>
      <c r="M24" s="88"/>
      <c r="N24" s="413"/>
      <c r="O24" s="414"/>
      <c r="P24" s="415"/>
    </row>
    <row r="25" spans="2:16" ht="18" customHeight="1">
      <c r="B25" s="401">
        <v>23</v>
      </c>
      <c r="C25" s="393" t="str">
        <f>Point!B25</f>
        <v>Thorkild J</v>
      </c>
      <c r="D25" s="394">
        <f>Point!C25</f>
        <v>10</v>
      </c>
      <c r="E25" s="88"/>
      <c r="F25" s="402">
        <v>23</v>
      </c>
      <c r="G25" s="396" t="str">
        <f>Money!B25</f>
        <v>Thorkild J</v>
      </c>
      <c r="H25" s="397">
        <f>Money!C25</f>
        <v>2670000</v>
      </c>
      <c r="I25" s="88"/>
      <c r="J25" s="402">
        <v>23</v>
      </c>
      <c r="K25" s="380" t="str">
        <f>Puts!B25</f>
        <v>Bo H</v>
      </c>
      <c r="L25" s="403">
        <f>Puts!C25</f>
        <v>37.22222222222222</v>
      </c>
      <c r="M25" s="88"/>
      <c r="N25" s="413"/>
      <c r="O25" s="414"/>
      <c r="P25" s="415"/>
    </row>
    <row r="26" spans="2:17" s="9" customFormat="1" ht="18" customHeight="1">
      <c r="B26" s="401">
        <v>24</v>
      </c>
      <c r="C26" s="393" t="str">
        <f>Point!B26</f>
        <v>Henning B</v>
      </c>
      <c r="D26" s="394">
        <f>Point!C26</f>
        <v>9</v>
      </c>
      <c r="E26" s="88"/>
      <c r="F26" s="402">
        <v>24</v>
      </c>
      <c r="G26" s="396" t="str">
        <f>Money!B26</f>
        <v>Henning B</v>
      </c>
      <c r="H26" s="397">
        <f>Money!C26</f>
        <v>2050000</v>
      </c>
      <c r="I26" s="88"/>
      <c r="J26" s="402">
        <v>24</v>
      </c>
      <c r="K26" s="398" t="str">
        <f>Puts!B26</f>
        <v>Thorkild J</v>
      </c>
      <c r="L26" s="399">
        <f>Puts!C26</f>
        <v>37.666666666666664</v>
      </c>
      <c r="M26" s="88"/>
      <c r="N26" s="413"/>
      <c r="O26" s="414"/>
      <c r="P26" s="415"/>
      <c r="Q26" s="1"/>
    </row>
    <row r="27" ht="18" customHeight="1">
      <c r="C27" s="1"/>
    </row>
    <row r="28" spans="2:16" ht="13.5">
      <c r="B28" s="471" t="s">
        <v>5</v>
      </c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3"/>
    </row>
    <row r="29" spans="2:16" ht="13.5">
      <c r="B29" s="474" t="s">
        <v>325</v>
      </c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6"/>
    </row>
    <row r="30" spans="2:16" ht="13.5">
      <c r="B30" s="477" t="s">
        <v>229</v>
      </c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9"/>
    </row>
  </sheetData>
  <sheetProtection selectLockedCells="1" selectUnlockedCells="1"/>
  <mergeCells count="9">
    <mergeCell ref="B28:P28"/>
    <mergeCell ref="B29:P29"/>
    <mergeCell ref="B30:P30"/>
    <mergeCell ref="B1:P1"/>
    <mergeCell ref="B2:D2"/>
    <mergeCell ref="F2:H2"/>
    <mergeCell ref="J2:L2"/>
    <mergeCell ref="N2:P2"/>
    <mergeCell ref="N14:P14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8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199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7" s="88" customFormat="1" ht="29.25" customHeight="1">
      <c r="B2" s="490" t="s">
        <v>196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P2" s="142" t="s">
        <v>99</v>
      </c>
      <c r="Q2" s="142" t="s">
        <v>100</v>
      </c>
    </row>
    <row r="3" spans="1:17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  <c r="P3" s="143">
        <v>14</v>
      </c>
      <c r="Q3" s="90" t="s">
        <v>78</v>
      </c>
    </row>
    <row r="4" spans="1:17" s="113" customFormat="1" ht="18" customHeight="1">
      <c r="A4" s="196" t="s">
        <v>42</v>
      </c>
      <c r="B4" s="307">
        <v>16.4</v>
      </c>
      <c r="C4" s="105">
        <v>33</v>
      </c>
      <c r="D4" s="105">
        <v>31</v>
      </c>
      <c r="E4" s="106"/>
      <c r="F4" s="104">
        <v>1</v>
      </c>
      <c r="G4" s="104">
        <v>10</v>
      </c>
      <c r="H4" s="107">
        <f aca="true" t="shared" si="0" ref="H4:H11">N4+I4</f>
        <v>2050000</v>
      </c>
      <c r="I4" s="108">
        <f aca="true" t="shared" si="1" ref="I4:I11"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2000000</v>
      </c>
      <c r="P4" s="103">
        <v>20</v>
      </c>
      <c r="Q4" s="90">
        <f>ROUND(P4*18/P3,0)</f>
        <v>26</v>
      </c>
    </row>
    <row r="5" spans="1:17" s="113" customFormat="1" ht="18" customHeight="1">
      <c r="A5" s="196" t="s">
        <v>38</v>
      </c>
      <c r="B5" s="307">
        <v>14.7</v>
      </c>
      <c r="C5" s="104">
        <v>30</v>
      </c>
      <c r="D5" s="105">
        <v>36</v>
      </c>
      <c r="E5" s="106" t="s">
        <v>223</v>
      </c>
      <c r="F5" s="104">
        <v>2</v>
      </c>
      <c r="G5" s="104">
        <v>8</v>
      </c>
      <c r="H5" s="107">
        <v>1850000</v>
      </c>
      <c r="I5" s="108">
        <f t="shared" si="1"/>
        <v>530000</v>
      </c>
      <c r="J5" s="114" t="s">
        <v>89</v>
      </c>
      <c r="K5" s="115"/>
      <c r="L5" s="116"/>
      <c r="M5" s="117">
        <v>8</v>
      </c>
      <c r="N5" s="107">
        <f>N12*20%</f>
        <v>1600000</v>
      </c>
      <c r="P5" s="103">
        <v>21</v>
      </c>
      <c r="Q5" s="90">
        <f>ROUND(P5*18/P3,0)</f>
        <v>27</v>
      </c>
    </row>
    <row r="6" spans="1:17" s="113" customFormat="1" ht="18" customHeight="1">
      <c r="A6" s="196" t="s">
        <v>34</v>
      </c>
      <c r="B6" s="307">
        <v>14.6</v>
      </c>
      <c r="C6" s="104">
        <v>27</v>
      </c>
      <c r="D6" s="105">
        <v>31</v>
      </c>
      <c r="E6" s="120"/>
      <c r="F6" s="12">
        <v>3</v>
      </c>
      <c r="G6" s="12">
        <v>6</v>
      </c>
      <c r="H6" s="107">
        <f t="shared" si="0"/>
        <v>1250000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1200000</v>
      </c>
      <c r="P6" s="103">
        <v>22</v>
      </c>
      <c r="Q6" s="90">
        <f>ROUND(P6*18/P3,0)</f>
        <v>28</v>
      </c>
    </row>
    <row r="7" spans="1:17" s="113" customFormat="1" ht="18" customHeight="1">
      <c r="A7" s="196" t="s">
        <v>333</v>
      </c>
      <c r="B7" s="307">
        <v>11.5</v>
      </c>
      <c r="C7" s="104">
        <v>26</v>
      </c>
      <c r="D7" s="105">
        <v>37</v>
      </c>
      <c r="E7" s="120"/>
      <c r="F7" s="104">
        <v>4</v>
      </c>
      <c r="G7" s="104">
        <v>5</v>
      </c>
      <c r="H7" s="107">
        <f t="shared" si="0"/>
        <v>1010000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960000</v>
      </c>
      <c r="O7" s="118"/>
      <c r="P7" s="103">
        <v>23</v>
      </c>
      <c r="Q7" s="90">
        <f>ROUND(P7*18/P3,0)</f>
        <v>30</v>
      </c>
    </row>
    <row r="8" spans="1:17" s="113" customFormat="1" ht="18" customHeight="1">
      <c r="A8" s="196" t="s">
        <v>28</v>
      </c>
      <c r="B8" s="307">
        <v>12.4</v>
      </c>
      <c r="C8" s="104">
        <v>26</v>
      </c>
      <c r="D8" s="105">
        <v>35</v>
      </c>
      <c r="E8" s="106"/>
      <c r="F8" s="104">
        <v>5</v>
      </c>
      <c r="G8" s="104">
        <v>4</v>
      </c>
      <c r="H8" s="107">
        <f t="shared" si="0"/>
        <v>850000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800000</v>
      </c>
      <c r="P8" s="103">
        <v>24</v>
      </c>
      <c r="Q8" s="90">
        <f>ROUND(P8*18/P3,0)</f>
        <v>31</v>
      </c>
    </row>
    <row r="9" spans="1:17" s="113" customFormat="1" ht="18" customHeight="1">
      <c r="A9" s="196" t="s">
        <v>24</v>
      </c>
      <c r="B9" s="307">
        <v>15.3</v>
      </c>
      <c r="C9" s="105">
        <v>26</v>
      </c>
      <c r="D9" s="105">
        <v>36</v>
      </c>
      <c r="E9" s="106"/>
      <c r="F9" s="121">
        <v>6</v>
      </c>
      <c r="G9" s="121">
        <v>3</v>
      </c>
      <c r="H9" s="107">
        <f t="shared" si="0"/>
        <v>690000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640000</v>
      </c>
      <c r="P9" s="103">
        <v>25</v>
      </c>
      <c r="Q9" s="90">
        <f>ROUND(P9*18/P3,0)</f>
        <v>32</v>
      </c>
    </row>
    <row r="10" spans="1:17" s="113" customFormat="1" ht="18" customHeight="1">
      <c r="A10" s="196" t="s">
        <v>52</v>
      </c>
      <c r="B10" s="307">
        <v>13.4</v>
      </c>
      <c r="C10" s="104">
        <v>25</v>
      </c>
      <c r="D10" s="105">
        <v>33</v>
      </c>
      <c r="E10" s="106"/>
      <c r="F10" s="104">
        <v>7</v>
      </c>
      <c r="G10" s="104">
        <v>2</v>
      </c>
      <c r="H10" s="107">
        <f t="shared" si="0"/>
        <v>530000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480000</v>
      </c>
      <c r="P10" s="103">
        <v>26</v>
      </c>
      <c r="Q10" s="90">
        <f>ROUND(P10*18/P3,0)</f>
        <v>33</v>
      </c>
    </row>
    <row r="11" spans="1:17" s="113" customFormat="1" ht="18" customHeight="1">
      <c r="A11" s="196" t="s">
        <v>12</v>
      </c>
      <c r="B11" s="307">
        <v>19</v>
      </c>
      <c r="C11" s="104">
        <v>25</v>
      </c>
      <c r="D11" s="105">
        <v>32</v>
      </c>
      <c r="E11" s="106"/>
      <c r="F11" s="104">
        <v>8</v>
      </c>
      <c r="G11" s="104">
        <v>1</v>
      </c>
      <c r="H11" s="107">
        <f t="shared" si="0"/>
        <v>370000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320000</v>
      </c>
      <c r="P11" s="103">
        <v>27</v>
      </c>
      <c r="Q11" s="90">
        <f>ROUND(P11*18/P3,0)</f>
        <v>35</v>
      </c>
    </row>
    <row r="12" spans="1:17" s="113" customFormat="1" ht="18" customHeight="1">
      <c r="A12" s="196" t="s">
        <v>48</v>
      </c>
      <c r="B12" s="307">
        <v>6.8</v>
      </c>
      <c r="C12" s="104">
        <v>24</v>
      </c>
      <c r="D12" s="105">
        <v>35</v>
      </c>
      <c r="E12" s="106"/>
      <c r="F12" s="104"/>
      <c r="G12" s="104"/>
      <c r="H12" s="107">
        <f aca="true" t="shared" si="2" ref="H12:H27">I12</f>
        <v>50000</v>
      </c>
      <c r="I12" s="108">
        <f aca="true" t="shared" si="3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8000000</v>
      </c>
      <c r="P12" s="103">
        <v>28</v>
      </c>
      <c r="Q12" s="90">
        <f>ROUND(P12*18/P3,0)</f>
        <v>36</v>
      </c>
    </row>
    <row r="13" spans="1:17" s="113" customFormat="1" ht="18" customHeight="1">
      <c r="A13" s="196" t="s">
        <v>30</v>
      </c>
      <c r="B13" s="307">
        <v>10.7</v>
      </c>
      <c r="C13" s="104">
        <v>23</v>
      </c>
      <c r="D13" s="105">
        <v>36</v>
      </c>
      <c r="E13" s="120">
        <v>1.45</v>
      </c>
      <c r="F13" s="104"/>
      <c r="G13" s="104"/>
      <c r="H13" s="107">
        <f t="shared" si="2"/>
        <v>530000</v>
      </c>
      <c r="I13" s="108">
        <f t="shared" si="3"/>
        <v>530000</v>
      </c>
      <c r="J13" s="125" t="s">
        <v>97</v>
      </c>
      <c r="K13" s="126"/>
      <c r="L13" s="127"/>
      <c r="M13" s="128">
        <v>1</v>
      </c>
      <c r="N13" s="129">
        <f>N10</f>
        <v>480000</v>
      </c>
      <c r="P13" s="103">
        <v>29</v>
      </c>
      <c r="Q13" s="90">
        <f>ROUND(P13*18/P3,0)</f>
        <v>37</v>
      </c>
    </row>
    <row r="14" spans="1:17" s="113" customFormat="1" ht="18" customHeight="1">
      <c r="A14" s="196" t="s">
        <v>18</v>
      </c>
      <c r="B14" s="307">
        <v>14.5</v>
      </c>
      <c r="C14" s="12">
        <v>23</v>
      </c>
      <c r="D14" s="105">
        <v>32</v>
      </c>
      <c r="E14" s="106"/>
      <c r="F14" s="104"/>
      <c r="G14" s="104"/>
      <c r="H14" s="107">
        <f t="shared" si="2"/>
        <v>50000</v>
      </c>
      <c r="I14" s="108">
        <f t="shared" si="3"/>
        <v>50000</v>
      </c>
      <c r="J14" s="130"/>
      <c r="K14" s="126"/>
      <c r="L14" s="126"/>
      <c r="M14" s="131"/>
      <c r="N14" s="132"/>
      <c r="P14" s="103">
        <v>30</v>
      </c>
      <c r="Q14" s="90">
        <f>ROUND(P14*18/P3,0)</f>
        <v>39</v>
      </c>
    </row>
    <row r="15" spans="1:17" s="113" customFormat="1" ht="18" customHeight="1">
      <c r="A15" s="196" t="s">
        <v>10</v>
      </c>
      <c r="B15" s="307">
        <v>15.2</v>
      </c>
      <c r="C15" s="105">
        <v>23</v>
      </c>
      <c r="D15" s="105">
        <v>40</v>
      </c>
      <c r="E15" s="120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  <c r="P15" s="103">
        <v>31</v>
      </c>
      <c r="Q15" s="90">
        <f>ROUND(P15*18/P3,0)</f>
        <v>40</v>
      </c>
    </row>
    <row r="16" spans="1:17" s="113" customFormat="1" ht="18" customHeight="1">
      <c r="A16" s="196" t="s">
        <v>32</v>
      </c>
      <c r="B16" s="307">
        <v>14.2</v>
      </c>
      <c r="C16" s="104">
        <v>22</v>
      </c>
      <c r="D16" s="105">
        <v>35</v>
      </c>
      <c r="E16" s="106"/>
      <c r="F16" s="12"/>
      <c r="G16" s="12"/>
      <c r="H16" s="107">
        <f t="shared" si="2"/>
        <v>50000</v>
      </c>
      <c r="I16" s="108">
        <f t="shared" si="3"/>
        <v>50000</v>
      </c>
      <c r="P16" s="103">
        <v>32</v>
      </c>
      <c r="Q16" s="90">
        <f>ROUND(P16*18/P3,0)</f>
        <v>41</v>
      </c>
    </row>
    <row r="17" spans="1:17" s="113" customFormat="1" ht="18" customHeight="1">
      <c r="A17" s="196" t="s">
        <v>44</v>
      </c>
      <c r="B17" s="307">
        <v>14.1</v>
      </c>
      <c r="C17" s="104">
        <v>20</v>
      </c>
      <c r="D17" s="105">
        <v>32</v>
      </c>
      <c r="E17" s="120"/>
      <c r="F17" s="12"/>
      <c r="G17" s="12"/>
      <c r="H17" s="107">
        <f t="shared" si="2"/>
        <v>50000</v>
      </c>
      <c r="I17" s="108">
        <f t="shared" si="3"/>
        <v>50000</v>
      </c>
      <c r="O17" s="118"/>
      <c r="P17" s="103">
        <v>33</v>
      </c>
      <c r="Q17" s="90">
        <f>ROUND(P17*18/P3,0)</f>
        <v>42</v>
      </c>
    </row>
    <row r="18" spans="1:17" s="113" customFormat="1" ht="18" customHeight="1">
      <c r="A18" s="196" t="s">
        <v>46</v>
      </c>
      <c r="B18" s="307">
        <v>19.6</v>
      </c>
      <c r="C18" s="124">
        <v>20</v>
      </c>
      <c r="D18" s="105">
        <v>39</v>
      </c>
      <c r="E18" s="106"/>
      <c r="F18" s="104"/>
      <c r="G18" s="104"/>
      <c r="H18" s="107">
        <f t="shared" si="2"/>
        <v>50000</v>
      </c>
      <c r="I18" s="108">
        <f t="shared" si="3"/>
        <v>50000</v>
      </c>
      <c r="J18" s="8"/>
      <c r="K18" s="8"/>
      <c r="L18" s="8"/>
      <c r="M18" s="8"/>
      <c r="N18" s="8"/>
      <c r="O18" s="119"/>
      <c r="P18" s="103">
        <v>34</v>
      </c>
      <c r="Q18" s="90">
        <f>ROUND(P18*18/P3,0)</f>
        <v>44</v>
      </c>
    </row>
    <row r="19" spans="1:17" s="113" customFormat="1" ht="18" customHeight="1">
      <c r="A19" s="196" t="s">
        <v>14</v>
      </c>
      <c r="B19" s="307">
        <v>10.7</v>
      </c>
      <c r="C19" s="105">
        <v>17</v>
      </c>
      <c r="D19" s="105">
        <v>41</v>
      </c>
      <c r="E19" s="120"/>
      <c r="F19" s="104"/>
      <c r="G19" s="104"/>
      <c r="H19" s="107">
        <f t="shared" si="2"/>
        <v>50000</v>
      </c>
      <c r="I19" s="108">
        <f t="shared" si="3"/>
        <v>50000</v>
      </c>
      <c r="J19" s="8"/>
      <c r="K19" s="8"/>
      <c r="L19" s="8"/>
      <c r="M19" s="8"/>
      <c r="N19" s="8"/>
      <c r="O19" s="119"/>
      <c r="P19" s="103">
        <v>35</v>
      </c>
      <c r="Q19" s="90">
        <f>ROUND(P19*18/P3,0)</f>
        <v>45</v>
      </c>
    </row>
    <row r="20" spans="1:17" s="88" customFormat="1" ht="18" customHeight="1">
      <c r="A20" s="196"/>
      <c r="B20" s="307"/>
      <c r="C20" s="104"/>
      <c r="D20" s="105"/>
      <c r="E20" s="106"/>
      <c r="F20" s="12"/>
      <c r="G20" s="12"/>
      <c r="H20" s="107">
        <f t="shared" si="2"/>
        <v>0</v>
      </c>
      <c r="I20" s="108">
        <f t="shared" si="3"/>
        <v>0</v>
      </c>
      <c r="J20" s="8"/>
      <c r="K20" s="8"/>
      <c r="L20" s="8"/>
      <c r="M20" s="8"/>
      <c r="N20" s="8"/>
      <c r="P20" s="103">
        <v>36</v>
      </c>
      <c r="Q20" s="90">
        <f>ROUND(P20*18/P3,0)</f>
        <v>46</v>
      </c>
    </row>
    <row r="21" spans="1:17" s="88" customFormat="1" ht="18" customHeight="1">
      <c r="A21" s="196"/>
      <c r="B21" s="307"/>
      <c r="C21" s="104"/>
      <c r="D21" s="105"/>
      <c r="E21" s="106"/>
      <c r="F21" s="12"/>
      <c r="G21" s="12"/>
      <c r="H21" s="107">
        <f t="shared" si="2"/>
        <v>0</v>
      </c>
      <c r="I21" s="108">
        <f t="shared" si="3"/>
        <v>0</v>
      </c>
      <c r="J21" s="8"/>
      <c r="K21" s="8"/>
      <c r="L21" s="8"/>
      <c r="M21" s="8"/>
      <c r="N21" s="8"/>
      <c r="P21" s="103">
        <v>37</v>
      </c>
      <c r="Q21" s="90">
        <f>ROUND(P21*18/P3,0)</f>
        <v>48</v>
      </c>
    </row>
    <row r="22" spans="1:17" s="88" customFormat="1" ht="18" customHeight="1">
      <c r="A22" s="196"/>
      <c r="B22" s="307"/>
      <c r="C22" s="104"/>
      <c r="D22" s="105"/>
      <c r="E22" s="106"/>
      <c r="F22" s="12"/>
      <c r="G22" s="12"/>
      <c r="H22" s="107">
        <f t="shared" si="2"/>
        <v>0</v>
      </c>
      <c r="I22" s="108">
        <f t="shared" si="3"/>
        <v>0</v>
      </c>
      <c r="J22" s="8"/>
      <c r="K22" s="8"/>
      <c r="L22" s="8"/>
      <c r="M22" s="8"/>
      <c r="N22" s="8"/>
      <c r="P22" s="103">
        <v>38</v>
      </c>
      <c r="Q22" s="90">
        <f>ROUND(P22*18/P3,0)</f>
        <v>49</v>
      </c>
    </row>
    <row r="23" spans="1:17" s="88" customFormat="1" ht="18" customHeight="1">
      <c r="A23" s="196"/>
      <c r="B23" s="307"/>
      <c r="C23" s="104"/>
      <c r="D23" s="105"/>
      <c r="E23" s="106"/>
      <c r="F23" s="12"/>
      <c r="G23" s="12"/>
      <c r="H23" s="107">
        <f t="shared" si="2"/>
        <v>0</v>
      </c>
      <c r="I23" s="108">
        <f t="shared" si="3"/>
        <v>0</v>
      </c>
      <c r="J23" s="8"/>
      <c r="K23" s="8"/>
      <c r="L23" s="8"/>
      <c r="M23" s="8"/>
      <c r="N23" s="8"/>
      <c r="P23" s="103">
        <v>39</v>
      </c>
      <c r="Q23" s="90">
        <f>ROUND(P23*18/P3,0)</f>
        <v>50</v>
      </c>
    </row>
    <row r="24" spans="1:17" s="88" customFormat="1" ht="18" customHeight="1">
      <c r="A24" s="196"/>
      <c r="B24" s="307"/>
      <c r="C24" s="105"/>
      <c r="D24" s="137" t="s">
        <v>98</v>
      </c>
      <c r="E24" s="106"/>
      <c r="F24" s="12"/>
      <c r="G24" s="12"/>
      <c r="H24" s="107">
        <f t="shared" si="2"/>
        <v>0</v>
      </c>
      <c r="I24" s="108">
        <f t="shared" si="3"/>
        <v>0</v>
      </c>
      <c r="J24" s="8"/>
      <c r="K24" s="8"/>
      <c r="L24" s="8"/>
      <c r="M24" s="8"/>
      <c r="N24" s="8"/>
      <c r="P24" s="103">
        <v>40</v>
      </c>
      <c r="Q24" s="90">
        <f>ROUND(P24*18/P3,0)</f>
        <v>51</v>
      </c>
    </row>
    <row r="25" spans="1:14" s="88" customFormat="1" ht="18" customHeight="1">
      <c r="A25" s="196"/>
      <c r="B25" s="307"/>
      <c r="C25" s="104"/>
      <c r="D25" s="105"/>
      <c r="E25" s="120"/>
      <c r="F25" s="12"/>
      <c r="G25" s="12"/>
      <c r="H25" s="107">
        <f t="shared" si="2"/>
        <v>0</v>
      </c>
      <c r="I25" s="108">
        <f t="shared" si="3"/>
        <v>0</v>
      </c>
      <c r="J25" s="8"/>
      <c r="K25" s="8"/>
      <c r="L25" s="8"/>
      <c r="M25" s="8"/>
      <c r="N25" s="8"/>
    </row>
    <row r="26" spans="1:14" s="88" customFormat="1" ht="18" customHeight="1">
      <c r="A26" s="196"/>
      <c r="B26" s="307"/>
      <c r="C26" s="104"/>
      <c r="D26" s="105"/>
      <c r="E26" s="106"/>
      <c r="F26" s="104"/>
      <c r="G26" s="104"/>
      <c r="H26" s="107">
        <f t="shared" si="2"/>
        <v>0</v>
      </c>
      <c r="I26" s="108">
        <f t="shared" si="3"/>
        <v>0</v>
      </c>
      <c r="J26" s="8"/>
      <c r="K26" s="8"/>
      <c r="L26" s="8"/>
      <c r="M26" s="8"/>
      <c r="N26" s="8"/>
    </row>
    <row r="27" spans="1:14" s="88" customFormat="1" ht="18" customHeight="1">
      <c r="A27" s="196"/>
      <c r="B27" s="240"/>
      <c r="C27" s="105"/>
      <c r="D27" s="137"/>
      <c r="E27" s="120"/>
      <c r="F27" s="104"/>
      <c r="G27" s="104"/>
      <c r="H27" s="107">
        <f t="shared" si="2"/>
        <v>0</v>
      </c>
      <c r="I27" s="108">
        <f t="shared" si="3"/>
        <v>0</v>
      </c>
      <c r="J27" s="8"/>
      <c r="K27" s="8"/>
      <c r="L27" s="8"/>
      <c r="M27" s="8"/>
      <c r="N27" s="8"/>
    </row>
    <row r="28" spans="1:9" ht="24" customHeight="1">
      <c r="A28" s="1"/>
      <c r="B28" s="3"/>
      <c r="C28" s="138"/>
      <c r="D28" s="139">
        <f>SUM(D4:D27)</f>
        <v>561</v>
      </c>
      <c r="E28" s="138"/>
      <c r="F28" s="3"/>
      <c r="G28" s="140">
        <f>SUM(G4:G27)</f>
        <v>39</v>
      </c>
      <c r="H28" s="140">
        <f>SUM(H4:H27)</f>
        <v>9480000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7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9.140625" style="8" customWidth="1"/>
    <col min="17" max="17" width="10.421875" style="8" customWidth="1"/>
    <col min="18" max="16384" width="9.140625" style="8" customWidth="1"/>
  </cols>
  <sheetData>
    <row r="1" spans="2:14" s="88" customFormat="1" ht="43.5" customHeight="1">
      <c r="B1" s="480" t="s">
        <v>101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7" s="88" customFormat="1" ht="29.25" customHeight="1">
      <c r="B2" s="490" t="s">
        <v>326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P2" s="142" t="s">
        <v>99</v>
      </c>
      <c r="Q2" s="142" t="s">
        <v>100</v>
      </c>
    </row>
    <row r="3" spans="1:17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  <c r="P3" s="143">
        <v>9</v>
      </c>
      <c r="Q3" s="90" t="s">
        <v>78</v>
      </c>
    </row>
    <row r="4" spans="1:17" s="113" customFormat="1" ht="18" customHeight="1">
      <c r="A4" s="196" t="s">
        <v>34</v>
      </c>
      <c r="B4" s="307">
        <v>14.6</v>
      </c>
      <c r="C4" s="105">
        <v>15</v>
      </c>
      <c r="D4" s="105">
        <v>30</v>
      </c>
      <c r="E4" s="106"/>
      <c r="F4" s="104">
        <v>1</v>
      </c>
      <c r="G4" s="104">
        <v>10</v>
      </c>
      <c r="H4" s="107">
        <f aca="true" t="shared" si="0" ref="H4:H11">N4+I4</f>
        <v>1800000</v>
      </c>
      <c r="I4" s="108">
        <f aca="true" t="shared" si="1" ref="I4:I11"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1750000</v>
      </c>
      <c r="P4" s="103">
        <v>10</v>
      </c>
      <c r="Q4" s="90">
        <f>ROUND(P4*18/P3,0)</f>
        <v>20</v>
      </c>
    </row>
    <row r="5" spans="1:17" s="113" customFormat="1" ht="18" customHeight="1">
      <c r="A5" s="196" t="s">
        <v>16</v>
      </c>
      <c r="B5" s="307">
        <v>19.5</v>
      </c>
      <c r="C5" s="104">
        <v>15</v>
      </c>
      <c r="D5" s="105">
        <v>32</v>
      </c>
      <c r="E5" s="106"/>
      <c r="F5" s="104">
        <v>2</v>
      </c>
      <c r="G5" s="104">
        <v>8</v>
      </c>
      <c r="H5" s="107">
        <f t="shared" si="0"/>
        <v>1450000</v>
      </c>
      <c r="I5" s="108">
        <f>IF(E5&gt;0,$N$13,0)+IF(C5&gt;0,50000,0)+IF(C13&lt;0,50000,0)</f>
        <v>50000</v>
      </c>
      <c r="J5" s="114" t="s">
        <v>89</v>
      </c>
      <c r="K5" s="115"/>
      <c r="L5" s="116"/>
      <c r="M5" s="117">
        <v>8</v>
      </c>
      <c r="N5" s="107">
        <f>N12*20%</f>
        <v>1400000</v>
      </c>
      <c r="P5" s="103">
        <v>11</v>
      </c>
      <c r="Q5" s="90">
        <f>ROUND(P5*18/P3,0)</f>
        <v>22</v>
      </c>
    </row>
    <row r="6" spans="1:17" s="113" customFormat="1" ht="18" customHeight="1">
      <c r="A6" s="196" t="s">
        <v>48</v>
      </c>
      <c r="B6" s="307">
        <v>6.8</v>
      </c>
      <c r="C6" s="105">
        <v>14</v>
      </c>
      <c r="D6" s="124">
        <v>32</v>
      </c>
      <c r="E6" s="120"/>
      <c r="F6" s="12">
        <v>3</v>
      </c>
      <c r="G6" s="12">
        <v>6</v>
      </c>
      <c r="H6" s="107">
        <f t="shared" si="0"/>
        <v>1100000</v>
      </c>
      <c r="I6" s="108">
        <f>IF(E6&gt;0,$N$13,0)+IF(C6&gt;0,50000,0)+IF(C14&lt;0,50000,0)</f>
        <v>50000</v>
      </c>
      <c r="J6" s="114" t="s">
        <v>90</v>
      </c>
      <c r="K6" s="115"/>
      <c r="L6" s="116"/>
      <c r="M6" s="117">
        <v>6</v>
      </c>
      <c r="N6" s="107">
        <f>N12*15%</f>
        <v>1050000</v>
      </c>
      <c r="P6" s="103">
        <v>12</v>
      </c>
      <c r="Q6" s="90">
        <f>ROUND(P6*18/P3,0)</f>
        <v>24</v>
      </c>
    </row>
    <row r="7" spans="1:17" s="113" customFormat="1" ht="18" customHeight="1">
      <c r="A7" s="196" t="s">
        <v>28</v>
      </c>
      <c r="B7" s="307">
        <v>12.4</v>
      </c>
      <c r="C7" s="104">
        <v>14</v>
      </c>
      <c r="D7" s="105">
        <v>34</v>
      </c>
      <c r="E7" s="120"/>
      <c r="F7" s="104">
        <v>4</v>
      </c>
      <c r="G7" s="104">
        <v>5</v>
      </c>
      <c r="H7" s="107">
        <f t="shared" si="0"/>
        <v>890000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840000</v>
      </c>
      <c r="O7" s="118"/>
      <c r="P7" s="103">
        <v>13</v>
      </c>
      <c r="Q7" s="90">
        <f>ROUND(P7*18/P3,0)</f>
        <v>26</v>
      </c>
    </row>
    <row r="8" spans="1:17" s="113" customFormat="1" ht="18" customHeight="1">
      <c r="A8" s="196" t="s">
        <v>12</v>
      </c>
      <c r="B8" s="307">
        <v>19</v>
      </c>
      <c r="C8" s="104">
        <v>14</v>
      </c>
      <c r="D8" s="105">
        <v>38</v>
      </c>
      <c r="E8" s="106"/>
      <c r="F8" s="104">
        <v>5</v>
      </c>
      <c r="G8" s="104">
        <v>4</v>
      </c>
      <c r="H8" s="107">
        <f t="shared" si="0"/>
        <v>750000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700000</v>
      </c>
      <c r="P8" s="103">
        <v>14</v>
      </c>
      <c r="Q8" s="90">
        <f>ROUND(P8*18/P3,0)</f>
        <v>28</v>
      </c>
    </row>
    <row r="9" spans="1:17" s="113" customFormat="1" ht="18" customHeight="1">
      <c r="A9" s="196" t="s">
        <v>18</v>
      </c>
      <c r="B9" s="307">
        <v>14.5</v>
      </c>
      <c r="C9" s="104">
        <v>12</v>
      </c>
      <c r="D9" s="105">
        <v>40</v>
      </c>
      <c r="E9" s="120"/>
      <c r="F9" s="121">
        <v>6</v>
      </c>
      <c r="G9" s="121">
        <v>3</v>
      </c>
      <c r="H9" s="107">
        <f t="shared" si="0"/>
        <v>610000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560000</v>
      </c>
      <c r="P9" s="103">
        <v>15</v>
      </c>
      <c r="Q9" s="90">
        <f>ROUND(P9*18/P3,0)</f>
        <v>30</v>
      </c>
    </row>
    <row r="10" spans="1:17" s="113" customFormat="1" ht="18" customHeight="1">
      <c r="A10" s="196" t="s">
        <v>42</v>
      </c>
      <c r="B10" s="307">
        <v>16.4</v>
      </c>
      <c r="C10" s="104">
        <v>12</v>
      </c>
      <c r="D10" s="105">
        <v>36</v>
      </c>
      <c r="E10" s="106"/>
      <c r="F10" s="104">
        <v>7</v>
      </c>
      <c r="G10" s="104">
        <v>2</v>
      </c>
      <c r="H10" s="107">
        <f t="shared" si="0"/>
        <v>470000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420000</v>
      </c>
      <c r="P10" s="103">
        <v>16</v>
      </c>
      <c r="Q10" s="90">
        <f>ROUND(P10*18/P3,0)</f>
        <v>32</v>
      </c>
    </row>
    <row r="11" spans="1:17" s="113" customFormat="1" ht="18" customHeight="1">
      <c r="A11" s="196" t="s">
        <v>333</v>
      </c>
      <c r="B11" s="307">
        <v>11.5</v>
      </c>
      <c r="C11" s="12">
        <v>11</v>
      </c>
      <c r="D11" s="105">
        <v>42</v>
      </c>
      <c r="E11" s="120"/>
      <c r="F11" s="104">
        <v>8</v>
      </c>
      <c r="G11" s="104">
        <v>1</v>
      </c>
      <c r="H11" s="107">
        <f t="shared" si="0"/>
        <v>330000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280000</v>
      </c>
      <c r="P11" s="103">
        <v>17</v>
      </c>
      <c r="Q11" s="90">
        <f>ROUND(P11*18/P3,0)</f>
        <v>34</v>
      </c>
    </row>
    <row r="12" spans="1:17" s="113" customFormat="1" ht="18" customHeight="1">
      <c r="A12" s="196" t="s">
        <v>40</v>
      </c>
      <c r="B12" s="307">
        <v>22.4</v>
      </c>
      <c r="C12" s="105">
        <v>8</v>
      </c>
      <c r="D12" s="105">
        <v>42</v>
      </c>
      <c r="E12" s="106"/>
      <c r="F12" s="104"/>
      <c r="G12" s="104"/>
      <c r="H12" s="107">
        <f aca="true" t="shared" si="2" ref="H12:H27">I12</f>
        <v>50000</v>
      </c>
      <c r="I12" s="108">
        <f aca="true" t="shared" si="3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7000000</v>
      </c>
      <c r="P12" s="103">
        <v>18</v>
      </c>
      <c r="Q12" s="90">
        <f>ROUND(P12*18/P3,0)</f>
        <v>36</v>
      </c>
    </row>
    <row r="13" spans="1:17" s="113" customFormat="1" ht="18" customHeight="1">
      <c r="A13" s="196" t="s">
        <v>38</v>
      </c>
      <c r="B13" s="307">
        <v>14.7</v>
      </c>
      <c r="C13" s="105">
        <v>7</v>
      </c>
      <c r="D13" s="105">
        <v>46</v>
      </c>
      <c r="E13" s="106">
        <v>7.25</v>
      </c>
      <c r="F13" s="104"/>
      <c r="G13" s="104"/>
      <c r="H13" s="107">
        <f t="shared" si="2"/>
        <v>470000</v>
      </c>
      <c r="I13" s="108">
        <f t="shared" si="3"/>
        <v>470000</v>
      </c>
      <c r="J13" s="125" t="s">
        <v>97</v>
      </c>
      <c r="K13" s="126"/>
      <c r="L13" s="127"/>
      <c r="M13" s="128">
        <v>1</v>
      </c>
      <c r="N13" s="129">
        <f>N10</f>
        <v>420000</v>
      </c>
      <c r="P13" s="103">
        <v>19</v>
      </c>
      <c r="Q13" s="90">
        <f>ROUND(P13*18/P3,0)</f>
        <v>38</v>
      </c>
    </row>
    <row r="14" spans="1:17" s="113" customFormat="1" ht="18" customHeight="1">
      <c r="A14" s="196"/>
      <c r="B14" s="307"/>
      <c r="C14" s="105"/>
      <c r="D14" s="105"/>
      <c r="E14" s="106"/>
      <c r="F14" s="104"/>
      <c r="G14" s="104"/>
      <c r="H14" s="107">
        <f t="shared" si="2"/>
        <v>0</v>
      </c>
      <c r="I14" s="108">
        <f t="shared" si="3"/>
        <v>0</v>
      </c>
      <c r="J14" s="130"/>
      <c r="K14" s="126"/>
      <c r="L14" s="126"/>
      <c r="M14" s="131"/>
      <c r="N14" s="132"/>
      <c r="P14" s="103">
        <v>20</v>
      </c>
      <c r="Q14" s="90">
        <f>ROUND(P14*18/P3,0)</f>
        <v>40</v>
      </c>
    </row>
    <row r="15" spans="1:17" s="113" customFormat="1" ht="18" customHeight="1">
      <c r="A15" s="196"/>
      <c r="B15" s="307"/>
      <c r="C15" s="104"/>
      <c r="D15" s="105"/>
      <c r="E15" s="106"/>
      <c r="F15" s="104"/>
      <c r="G15" s="104"/>
      <c r="H15" s="107">
        <f t="shared" si="2"/>
        <v>0</v>
      </c>
      <c r="I15" s="108">
        <f t="shared" si="3"/>
        <v>0</v>
      </c>
      <c r="J15" s="133"/>
      <c r="K15" s="134"/>
      <c r="L15" s="134"/>
      <c r="M15" s="135"/>
      <c r="N15" s="136"/>
      <c r="P15" s="103">
        <v>21</v>
      </c>
      <c r="Q15" s="90">
        <f>ROUND(P15*18/P3,0)</f>
        <v>42</v>
      </c>
    </row>
    <row r="16" spans="1:17" s="113" customFormat="1" ht="18" customHeight="1">
      <c r="A16" s="196"/>
      <c r="B16" s="307"/>
      <c r="C16" s="104"/>
      <c r="D16" s="105"/>
      <c r="E16" s="106"/>
      <c r="F16" s="12"/>
      <c r="G16" s="12"/>
      <c r="H16" s="107">
        <f t="shared" si="2"/>
        <v>0</v>
      </c>
      <c r="I16" s="108">
        <f t="shared" si="3"/>
        <v>0</v>
      </c>
      <c r="P16" s="103">
        <v>22</v>
      </c>
      <c r="Q16" s="90">
        <f>ROUND(P16*18/P3,0)</f>
        <v>44</v>
      </c>
    </row>
    <row r="17" spans="1:17" s="113" customFormat="1" ht="18" customHeight="1">
      <c r="A17" s="196"/>
      <c r="B17" s="307"/>
      <c r="C17" s="104"/>
      <c r="D17" s="105"/>
      <c r="E17" s="106"/>
      <c r="F17" s="12"/>
      <c r="G17" s="12"/>
      <c r="H17" s="107">
        <f t="shared" si="2"/>
        <v>0</v>
      </c>
      <c r="I17" s="108">
        <f t="shared" si="3"/>
        <v>0</v>
      </c>
      <c r="O17" s="118"/>
      <c r="P17" s="103">
        <v>23</v>
      </c>
      <c r="Q17" s="90">
        <f>ROUND(P17*18/P3,0)</f>
        <v>46</v>
      </c>
    </row>
    <row r="18" spans="1:17" s="113" customFormat="1" ht="18" customHeight="1">
      <c r="A18" s="196"/>
      <c r="B18" s="307"/>
      <c r="C18" s="124"/>
      <c r="D18" s="105"/>
      <c r="E18" s="106"/>
      <c r="F18" s="104"/>
      <c r="G18" s="104"/>
      <c r="H18" s="107">
        <f t="shared" si="2"/>
        <v>0</v>
      </c>
      <c r="I18" s="108">
        <f t="shared" si="3"/>
        <v>0</v>
      </c>
      <c r="J18" s="8"/>
      <c r="K18" s="8"/>
      <c r="L18" s="8"/>
      <c r="M18" s="8"/>
      <c r="N18" s="8"/>
      <c r="O18" s="119"/>
      <c r="P18" s="103">
        <v>24</v>
      </c>
      <c r="Q18" s="90">
        <f>ROUND(P18*18/P3,0)</f>
        <v>48</v>
      </c>
    </row>
    <row r="19" spans="1:17" s="113" customFormat="1" ht="18" customHeight="1">
      <c r="A19" s="196"/>
      <c r="B19" s="307"/>
      <c r="C19" s="104"/>
      <c r="D19" s="105"/>
      <c r="E19" s="106"/>
      <c r="F19" s="104"/>
      <c r="G19" s="104"/>
      <c r="H19" s="107">
        <f t="shared" si="2"/>
        <v>0</v>
      </c>
      <c r="I19" s="108">
        <f t="shared" si="3"/>
        <v>0</v>
      </c>
      <c r="J19" s="8"/>
      <c r="K19" s="8"/>
      <c r="L19" s="8"/>
      <c r="M19" s="8"/>
      <c r="N19" s="8"/>
      <c r="O19" s="119"/>
      <c r="P19" s="103">
        <v>25</v>
      </c>
      <c r="Q19" s="90">
        <f>ROUND(P19*18/P3,0)</f>
        <v>50</v>
      </c>
    </row>
    <row r="20" spans="1:17" s="88" customFormat="1" ht="18" customHeight="1">
      <c r="A20" s="196"/>
      <c r="B20" s="307"/>
      <c r="C20" s="104"/>
      <c r="D20" s="105"/>
      <c r="E20" s="106"/>
      <c r="F20" s="12"/>
      <c r="G20" s="12"/>
      <c r="H20" s="107">
        <f t="shared" si="2"/>
        <v>0</v>
      </c>
      <c r="I20" s="108">
        <f t="shared" si="3"/>
        <v>0</v>
      </c>
      <c r="J20" s="8"/>
      <c r="K20" s="8"/>
      <c r="L20" s="8"/>
      <c r="M20" s="8"/>
      <c r="N20" s="8"/>
      <c r="P20" s="103">
        <v>26</v>
      </c>
      <c r="Q20" s="90">
        <f>ROUND(P20*18/P3,0)</f>
        <v>52</v>
      </c>
    </row>
    <row r="21" spans="1:17" s="88" customFormat="1" ht="18" customHeight="1">
      <c r="A21" s="196"/>
      <c r="B21" s="307"/>
      <c r="C21" s="104"/>
      <c r="D21" s="105"/>
      <c r="E21" s="106"/>
      <c r="F21" s="12"/>
      <c r="G21" s="12"/>
      <c r="H21" s="107">
        <f t="shared" si="2"/>
        <v>0</v>
      </c>
      <c r="I21" s="108">
        <f t="shared" si="3"/>
        <v>0</v>
      </c>
      <c r="J21" s="8"/>
      <c r="K21" s="8"/>
      <c r="L21" s="8"/>
      <c r="M21" s="8"/>
      <c r="N21" s="8"/>
      <c r="P21" s="103">
        <v>27</v>
      </c>
      <c r="Q21" s="90">
        <f>ROUND(P21*18/P3,0)</f>
        <v>54</v>
      </c>
    </row>
    <row r="22" spans="1:17" s="88" customFormat="1" ht="18" customHeight="1">
      <c r="A22" s="196"/>
      <c r="B22" s="307"/>
      <c r="C22" s="104"/>
      <c r="D22" s="105"/>
      <c r="E22" s="120"/>
      <c r="F22" s="12"/>
      <c r="G22" s="12"/>
      <c r="H22" s="107">
        <f t="shared" si="2"/>
        <v>0</v>
      </c>
      <c r="I22" s="108">
        <f t="shared" si="3"/>
        <v>0</v>
      </c>
      <c r="J22" s="8"/>
      <c r="K22" s="8"/>
      <c r="L22" s="8"/>
      <c r="M22" s="8"/>
      <c r="N22" s="8"/>
      <c r="P22" s="103">
        <v>28</v>
      </c>
      <c r="Q22" s="90">
        <f>ROUND(P22*18/P3,0)</f>
        <v>56</v>
      </c>
    </row>
    <row r="23" spans="1:17" s="88" customFormat="1" ht="18" customHeight="1">
      <c r="A23" s="196"/>
      <c r="B23" s="307"/>
      <c r="C23" s="104"/>
      <c r="D23" s="105"/>
      <c r="E23" s="106"/>
      <c r="F23" s="12"/>
      <c r="G23" s="12"/>
      <c r="H23" s="107">
        <f t="shared" si="2"/>
        <v>0</v>
      </c>
      <c r="I23" s="108">
        <f t="shared" si="3"/>
        <v>0</v>
      </c>
      <c r="J23" s="8"/>
      <c r="K23" s="8"/>
      <c r="L23" s="8"/>
      <c r="M23" s="8"/>
      <c r="N23" s="8"/>
      <c r="P23" s="103">
        <v>29</v>
      </c>
      <c r="Q23" s="90">
        <f>ROUND(P23*18/P3,0)</f>
        <v>58</v>
      </c>
    </row>
    <row r="24" spans="1:17" s="88" customFormat="1" ht="18" customHeight="1">
      <c r="A24" s="196"/>
      <c r="B24" s="240"/>
      <c r="C24" s="104"/>
      <c r="D24" s="137" t="s">
        <v>98</v>
      </c>
      <c r="E24" s="120"/>
      <c r="F24" s="12"/>
      <c r="G24" s="12"/>
      <c r="H24" s="107">
        <f t="shared" si="2"/>
        <v>0</v>
      </c>
      <c r="I24" s="108">
        <f>IF(E24&gt;0,$N$13,0)+IF(C24&gt;0,50000,0)+IF(C24&lt;0,50000,0)</f>
        <v>0</v>
      </c>
      <c r="J24" s="8"/>
      <c r="K24" s="8"/>
      <c r="L24" s="8"/>
      <c r="M24" s="8"/>
      <c r="N24" s="8"/>
      <c r="P24" s="103">
        <v>30</v>
      </c>
      <c r="Q24" s="90">
        <f>ROUND(P24*18/P3,0)</f>
        <v>60</v>
      </c>
    </row>
    <row r="25" spans="1:14" s="88" customFormat="1" ht="18" customHeight="1">
      <c r="A25" s="196"/>
      <c r="B25" s="240"/>
      <c r="C25" s="105"/>
      <c r="D25" s="105"/>
      <c r="E25" s="120"/>
      <c r="F25" s="12"/>
      <c r="G25" s="12"/>
      <c r="H25" s="107">
        <f t="shared" si="2"/>
        <v>0</v>
      </c>
      <c r="I25" s="108">
        <f t="shared" si="3"/>
        <v>0</v>
      </c>
      <c r="J25" s="8"/>
      <c r="K25" s="8"/>
      <c r="L25" s="8"/>
      <c r="M25" s="8"/>
      <c r="N25" s="8"/>
    </row>
    <row r="26" spans="1:14" s="88" customFormat="1" ht="18" customHeight="1">
      <c r="A26" s="196"/>
      <c r="B26" s="240"/>
      <c r="C26" s="104"/>
      <c r="D26" s="105"/>
      <c r="E26" s="106"/>
      <c r="F26" s="104"/>
      <c r="G26" s="104"/>
      <c r="H26" s="107">
        <f t="shared" si="2"/>
        <v>0</v>
      </c>
      <c r="I26" s="108">
        <f t="shared" si="3"/>
        <v>0</v>
      </c>
      <c r="J26" s="8"/>
      <c r="K26" s="8"/>
      <c r="L26" s="8"/>
      <c r="M26" s="8"/>
      <c r="N26" s="8"/>
    </row>
    <row r="27" spans="1:14" s="88" customFormat="1" ht="18" customHeight="1">
      <c r="A27" s="196"/>
      <c r="B27" s="240"/>
      <c r="C27" s="104"/>
      <c r="D27" s="105"/>
      <c r="E27" s="120"/>
      <c r="F27" s="104"/>
      <c r="G27" s="104"/>
      <c r="H27" s="107">
        <f t="shared" si="2"/>
        <v>0</v>
      </c>
      <c r="I27" s="108">
        <f t="shared" si="3"/>
        <v>0</v>
      </c>
      <c r="J27" s="8"/>
      <c r="K27" s="8"/>
      <c r="L27" s="8"/>
      <c r="M27" s="8"/>
      <c r="N27" s="8"/>
    </row>
    <row r="28" spans="1:9" ht="24" customHeight="1">
      <c r="A28" s="1"/>
      <c r="B28" s="3"/>
      <c r="C28" s="138"/>
      <c r="D28" s="139">
        <f>SUM(D4:D27)</f>
        <v>372</v>
      </c>
      <c r="E28" s="138"/>
      <c r="F28" s="3"/>
      <c r="G28" s="140">
        <f>SUM(G4:G27)</f>
        <v>39</v>
      </c>
      <c r="H28" s="140">
        <f>SUM(H4:H27)</f>
        <v>7920000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7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14.28125" style="8" customWidth="1"/>
    <col min="17" max="17" width="10.7109375" style="8" customWidth="1"/>
    <col min="18" max="16384" width="9.140625" style="8" customWidth="1"/>
  </cols>
  <sheetData>
    <row r="1" spans="2:14" s="88" customFormat="1" ht="43.5" customHeight="1">
      <c r="B1" s="480" t="s">
        <v>102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7" s="88" customFormat="1" ht="29.25" customHeight="1">
      <c r="B2" s="490" t="s">
        <v>322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P2" s="142" t="s">
        <v>99</v>
      </c>
      <c r="Q2" s="142" t="s">
        <v>100</v>
      </c>
    </row>
    <row r="3" spans="1:17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  <c r="P3" s="143">
        <v>13</v>
      </c>
      <c r="Q3" s="90" t="s">
        <v>78</v>
      </c>
    </row>
    <row r="4" spans="1:17" s="113" customFormat="1" ht="18" customHeight="1">
      <c r="A4" s="196" t="s">
        <v>333</v>
      </c>
      <c r="B4" s="307">
        <v>11.4</v>
      </c>
      <c r="C4" s="105">
        <v>30</v>
      </c>
      <c r="D4" s="105">
        <v>30</v>
      </c>
      <c r="E4" s="120"/>
      <c r="F4" s="104">
        <v>1</v>
      </c>
      <c r="G4" s="104">
        <v>10</v>
      </c>
      <c r="H4" s="107">
        <f aca="true" t="shared" si="0" ref="H4:H11">N4+I4</f>
        <v>1300000</v>
      </c>
      <c r="I4" s="108">
        <f aca="true" t="shared" si="1" ref="I4:I11"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1250000</v>
      </c>
      <c r="P4" s="103">
        <v>21</v>
      </c>
      <c r="Q4" s="90">
        <f>ROUND(P4*18/P3,0)</f>
        <v>29</v>
      </c>
    </row>
    <row r="5" spans="1:17" s="113" customFormat="1" ht="18" customHeight="1">
      <c r="A5" s="196" t="s">
        <v>34</v>
      </c>
      <c r="B5" s="307">
        <v>14.5</v>
      </c>
      <c r="C5" s="104">
        <v>27</v>
      </c>
      <c r="D5" s="105">
        <v>33</v>
      </c>
      <c r="E5" s="106"/>
      <c r="F5" s="104">
        <v>2</v>
      </c>
      <c r="G5" s="104">
        <v>8</v>
      </c>
      <c r="H5" s="107">
        <f t="shared" si="0"/>
        <v>1050000</v>
      </c>
      <c r="I5" s="108">
        <f>IF(E5&gt;0,$N$13,0)+IF(C5&gt;0,50000,0)+IF(C13&lt;0,50000,0)</f>
        <v>50000</v>
      </c>
      <c r="J5" s="114" t="s">
        <v>89</v>
      </c>
      <c r="K5" s="115"/>
      <c r="L5" s="116"/>
      <c r="M5" s="117">
        <v>8</v>
      </c>
      <c r="N5" s="107">
        <f>N12*20%</f>
        <v>1000000</v>
      </c>
      <c r="P5" s="103">
        <v>22</v>
      </c>
      <c r="Q5" s="90">
        <f>ROUND(P5*18/P3,0)</f>
        <v>30</v>
      </c>
    </row>
    <row r="6" spans="1:17" s="113" customFormat="1" ht="18" customHeight="1">
      <c r="A6" s="196" t="s">
        <v>10</v>
      </c>
      <c r="B6" s="307">
        <v>15.2</v>
      </c>
      <c r="C6" s="104">
        <v>25</v>
      </c>
      <c r="D6" s="105">
        <v>35</v>
      </c>
      <c r="E6" s="106"/>
      <c r="F6" s="12">
        <v>3</v>
      </c>
      <c r="G6" s="12">
        <v>6</v>
      </c>
      <c r="H6" s="107">
        <f t="shared" si="0"/>
        <v>800000</v>
      </c>
      <c r="I6" s="108">
        <f>IF(E6&gt;0,$N$13,0)+IF(C6&gt;0,50000,0)+IF(C14&lt;0,50000,0)</f>
        <v>50000</v>
      </c>
      <c r="J6" s="114" t="s">
        <v>90</v>
      </c>
      <c r="K6" s="115"/>
      <c r="L6" s="116"/>
      <c r="M6" s="117">
        <v>6</v>
      </c>
      <c r="N6" s="107">
        <f>N12*15%</f>
        <v>750000</v>
      </c>
      <c r="P6" s="103">
        <v>23</v>
      </c>
      <c r="Q6" s="90">
        <f>ROUND(P6*18/P3,0)</f>
        <v>32</v>
      </c>
    </row>
    <row r="7" spans="1:18" s="113" customFormat="1" ht="18" customHeight="1">
      <c r="A7" s="196" t="s">
        <v>40</v>
      </c>
      <c r="B7" s="307">
        <v>22.4</v>
      </c>
      <c r="C7" s="105">
        <v>25</v>
      </c>
      <c r="D7" s="105">
        <v>33</v>
      </c>
      <c r="E7" s="120"/>
      <c r="F7" s="104">
        <v>4</v>
      </c>
      <c r="G7" s="104">
        <v>5</v>
      </c>
      <c r="H7" s="107">
        <f t="shared" si="0"/>
        <v>650000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600000</v>
      </c>
      <c r="O7" s="118"/>
      <c r="P7" s="103">
        <v>24</v>
      </c>
      <c r="Q7" s="90">
        <f>ROUND(P7*18/P3,0)</f>
        <v>33</v>
      </c>
      <c r="R7" s="119"/>
    </row>
    <row r="8" spans="1:17" s="113" customFormat="1" ht="18" customHeight="1">
      <c r="A8" s="196" t="s">
        <v>44</v>
      </c>
      <c r="B8" s="307">
        <v>14.1</v>
      </c>
      <c r="C8" s="105">
        <v>24</v>
      </c>
      <c r="D8" s="105">
        <v>33</v>
      </c>
      <c r="E8" s="120"/>
      <c r="F8" s="104">
        <v>5</v>
      </c>
      <c r="G8" s="104">
        <v>4</v>
      </c>
      <c r="H8" s="107">
        <f t="shared" si="0"/>
        <v>550000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500000</v>
      </c>
      <c r="P8" s="103">
        <v>25</v>
      </c>
      <c r="Q8" s="90">
        <f>ROUND(P8*18/P3,0)</f>
        <v>35</v>
      </c>
    </row>
    <row r="9" spans="1:17" s="113" customFormat="1" ht="18" customHeight="1">
      <c r="A9" s="196" t="s">
        <v>32</v>
      </c>
      <c r="B9" s="307">
        <v>14.2</v>
      </c>
      <c r="C9" s="104">
        <v>24</v>
      </c>
      <c r="D9" s="105">
        <v>35</v>
      </c>
      <c r="E9" s="106"/>
      <c r="F9" s="121">
        <v>6</v>
      </c>
      <c r="G9" s="121">
        <v>3</v>
      </c>
      <c r="H9" s="107">
        <f t="shared" si="0"/>
        <v>450000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400000</v>
      </c>
      <c r="P9" s="103">
        <v>26</v>
      </c>
      <c r="Q9" s="90">
        <f>ROUND(P9*18/P3,0)</f>
        <v>36</v>
      </c>
    </row>
    <row r="10" spans="1:17" s="113" customFormat="1" ht="18" customHeight="1">
      <c r="A10" s="196" t="s">
        <v>18</v>
      </c>
      <c r="B10" s="307">
        <v>14.4</v>
      </c>
      <c r="C10" s="104">
        <v>24</v>
      </c>
      <c r="D10" s="105">
        <v>32</v>
      </c>
      <c r="E10" s="106"/>
      <c r="F10" s="104">
        <v>7</v>
      </c>
      <c r="G10" s="104">
        <v>2</v>
      </c>
      <c r="H10" s="107">
        <f t="shared" si="0"/>
        <v>350000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300000</v>
      </c>
      <c r="P10" s="103">
        <v>27</v>
      </c>
      <c r="Q10" s="90">
        <f>ROUND(P10*18/P3,0)</f>
        <v>37</v>
      </c>
    </row>
    <row r="11" spans="1:17" s="113" customFormat="1" ht="18" customHeight="1">
      <c r="A11" s="196" t="s">
        <v>48</v>
      </c>
      <c r="B11" s="307">
        <v>6.8</v>
      </c>
      <c r="C11" s="105">
        <v>22</v>
      </c>
      <c r="D11" s="105">
        <v>35</v>
      </c>
      <c r="E11" s="106"/>
      <c r="F11" s="104">
        <v>8</v>
      </c>
      <c r="G11" s="104">
        <v>1</v>
      </c>
      <c r="H11" s="107">
        <f t="shared" si="0"/>
        <v>250000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200000</v>
      </c>
      <c r="P11" s="103">
        <v>28</v>
      </c>
      <c r="Q11" s="90">
        <f>ROUND(P11*18/P3,0)</f>
        <v>39</v>
      </c>
    </row>
    <row r="12" spans="1:17" s="113" customFormat="1" ht="18" customHeight="1">
      <c r="A12" s="196" t="s">
        <v>28</v>
      </c>
      <c r="B12" s="307">
        <v>12.4</v>
      </c>
      <c r="C12" s="105">
        <v>20</v>
      </c>
      <c r="D12" s="105">
        <v>35</v>
      </c>
      <c r="E12" s="106"/>
      <c r="F12" s="104"/>
      <c r="G12" s="104"/>
      <c r="H12" s="107">
        <f aca="true" t="shared" si="2" ref="H12:H27">I12</f>
        <v>50000</v>
      </c>
      <c r="I12" s="108">
        <f aca="true" t="shared" si="3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5000000</v>
      </c>
      <c r="P12" s="103">
        <v>29</v>
      </c>
      <c r="Q12" s="90">
        <f>ROUND(P12*18/P3,0)</f>
        <v>40</v>
      </c>
    </row>
    <row r="13" spans="1:17" s="113" customFormat="1" ht="18" customHeight="1">
      <c r="A13" s="196" t="s">
        <v>22</v>
      </c>
      <c r="B13" s="307">
        <v>14.5</v>
      </c>
      <c r="C13" s="12">
        <v>20</v>
      </c>
      <c r="D13" s="105">
        <v>35</v>
      </c>
      <c r="E13" s="120"/>
      <c r="F13" s="104"/>
      <c r="G13" s="104"/>
      <c r="H13" s="107">
        <f t="shared" si="2"/>
        <v>50000</v>
      </c>
      <c r="I13" s="108">
        <f t="shared" si="3"/>
        <v>50000</v>
      </c>
      <c r="J13" s="125" t="s">
        <v>97</v>
      </c>
      <c r="K13" s="126"/>
      <c r="L13" s="127"/>
      <c r="M13" s="128">
        <v>1</v>
      </c>
      <c r="N13" s="129">
        <f>N10</f>
        <v>300000</v>
      </c>
      <c r="P13" s="103">
        <v>30</v>
      </c>
      <c r="Q13" s="90">
        <f>ROUND(P13*18/P3,0)</f>
        <v>42</v>
      </c>
    </row>
    <row r="14" spans="1:17" s="113" customFormat="1" ht="18" customHeight="1">
      <c r="A14" s="196" t="s">
        <v>38</v>
      </c>
      <c r="B14" s="307">
        <v>14.7</v>
      </c>
      <c r="C14" s="104">
        <v>20</v>
      </c>
      <c r="D14" s="105">
        <v>37</v>
      </c>
      <c r="E14" s="120">
        <v>5.69</v>
      </c>
      <c r="F14" s="104"/>
      <c r="G14" s="104"/>
      <c r="H14" s="107">
        <f t="shared" si="2"/>
        <v>350000</v>
      </c>
      <c r="I14" s="108">
        <f t="shared" si="3"/>
        <v>350000</v>
      </c>
      <c r="J14" s="130"/>
      <c r="K14" s="126"/>
      <c r="L14" s="126"/>
      <c r="M14" s="131"/>
      <c r="N14" s="132"/>
      <c r="P14" s="103">
        <v>31</v>
      </c>
      <c r="Q14" s="90">
        <f>ROUND(P14*18/P3,0)</f>
        <v>43</v>
      </c>
    </row>
    <row r="15" spans="1:17" s="113" customFormat="1" ht="18" customHeight="1">
      <c r="A15" s="196" t="s">
        <v>42</v>
      </c>
      <c r="B15" s="307">
        <v>16.4</v>
      </c>
      <c r="C15" s="104">
        <v>19</v>
      </c>
      <c r="D15" s="105">
        <v>39</v>
      </c>
      <c r="E15" s="106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  <c r="P15" s="103">
        <v>32</v>
      </c>
      <c r="Q15" s="90">
        <f>ROUND(P15*18/P3,0)</f>
        <v>44</v>
      </c>
    </row>
    <row r="16" spans="1:17" s="113" customFormat="1" ht="18" customHeight="1">
      <c r="A16" s="196" t="s">
        <v>16</v>
      </c>
      <c r="B16" s="307">
        <v>19.5</v>
      </c>
      <c r="C16" s="104">
        <v>17</v>
      </c>
      <c r="D16" s="105">
        <v>36</v>
      </c>
      <c r="E16" s="106"/>
      <c r="F16" s="12"/>
      <c r="G16" s="12"/>
      <c r="H16" s="107">
        <f t="shared" si="2"/>
        <v>50000</v>
      </c>
      <c r="I16" s="108">
        <f t="shared" si="3"/>
        <v>50000</v>
      </c>
      <c r="P16" s="103">
        <v>33</v>
      </c>
      <c r="Q16" s="90">
        <f>ROUND(P16*18/P3,0)</f>
        <v>46</v>
      </c>
    </row>
    <row r="17" spans="1:18" s="113" customFormat="1" ht="18" customHeight="1">
      <c r="A17" s="196" t="s">
        <v>46</v>
      </c>
      <c r="B17" s="307">
        <v>19.6</v>
      </c>
      <c r="C17" s="104">
        <v>16</v>
      </c>
      <c r="D17" s="105">
        <v>37</v>
      </c>
      <c r="E17" s="106"/>
      <c r="F17" s="12"/>
      <c r="G17" s="12"/>
      <c r="H17" s="107">
        <f t="shared" si="2"/>
        <v>50000</v>
      </c>
      <c r="I17" s="108">
        <f t="shared" si="3"/>
        <v>50000</v>
      </c>
      <c r="O17" s="118"/>
      <c r="P17" s="103">
        <v>34</v>
      </c>
      <c r="Q17" s="90">
        <f>ROUND(P17*18/P3,0)</f>
        <v>47</v>
      </c>
      <c r="R17" s="119"/>
    </row>
    <row r="18" spans="1:18" s="113" customFormat="1" ht="18" customHeight="1">
      <c r="A18" s="196" t="s">
        <v>26</v>
      </c>
      <c r="B18" s="307">
        <v>22.4</v>
      </c>
      <c r="C18" s="104">
        <v>16</v>
      </c>
      <c r="D18" s="105">
        <v>40</v>
      </c>
      <c r="E18" s="106"/>
      <c r="F18" s="104"/>
      <c r="G18" s="104"/>
      <c r="H18" s="107">
        <f t="shared" si="2"/>
        <v>50000</v>
      </c>
      <c r="I18" s="108">
        <f t="shared" si="3"/>
        <v>50000</v>
      </c>
      <c r="J18" s="8"/>
      <c r="K18" s="8"/>
      <c r="L18" s="8"/>
      <c r="M18" s="8"/>
      <c r="N18" s="8"/>
      <c r="O18" s="119"/>
      <c r="P18" s="103">
        <v>35</v>
      </c>
      <c r="Q18" s="90">
        <f>ROUND(P18*18/P3,0)</f>
        <v>48</v>
      </c>
      <c r="R18" s="119"/>
    </row>
    <row r="19" spans="1:18" s="113" customFormat="1" ht="18" customHeight="1">
      <c r="A19" s="196" t="s">
        <v>8</v>
      </c>
      <c r="B19" s="307">
        <v>23.4</v>
      </c>
      <c r="C19" s="124">
        <v>16</v>
      </c>
      <c r="D19" s="105">
        <v>46</v>
      </c>
      <c r="E19" s="106"/>
      <c r="F19" s="104"/>
      <c r="G19" s="104"/>
      <c r="H19" s="107">
        <f t="shared" si="2"/>
        <v>50000</v>
      </c>
      <c r="I19" s="108">
        <f t="shared" si="3"/>
        <v>50000</v>
      </c>
      <c r="J19" s="8"/>
      <c r="K19" s="8"/>
      <c r="L19" s="8"/>
      <c r="M19" s="8"/>
      <c r="N19" s="8"/>
      <c r="O19" s="119"/>
      <c r="P19" s="103">
        <v>36</v>
      </c>
      <c r="Q19" s="90">
        <f>ROUND(P19*18/P3,0)</f>
        <v>50</v>
      </c>
      <c r="R19" s="119"/>
    </row>
    <row r="20" spans="1:17" s="88" customFormat="1" ht="18" customHeight="1">
      <c r="A20" s="196"/>
      <c r="B20" s="307"/>
      <c r="C20" s="104"/>
      <c r="D20" s="105"/>
      <c r="E20" s="106"/>
      <c r="F20" s="12"/>
      <c r="G20" s="12"/>
      <c r="H20" s="107">
        <f t="shared" si="2"/>
        <v>0</v>
      </c>
      <c r="I20" s="108">
        <f t="shared" si="3"/>
        <v>0</v>
      </c>
      <c r="J20" s="8"/>
      <c r="K20" s="8"/>
      <c r="L20" s="8"/>
      <c r="M20" s="8"/>
      <c r="N20" s="8"/>
      <c r="P20" s="103">
        <v>37</v>
      </c>
      <c r="Q20" s="90">
        <f>ROUND(P20*18/P3,0)</f>
        <v>51</v>
      </c>
    </row>
    <row r="21" spans="1:17" s="88" customFormat="1" ht="18" customHeight="1">
      <c r="A21" s="196"/>
      <c r="B21" s="307"/>
      <c r="C21" s="104"/>
      <c r="D21" s="105"/>
      <c r="E21" s="106"/>
      <c r="F21" s="12"/>
      <c r="G21" s="12"/>
      <c r="H21" s="107">
        <f t="shared" si="2"/>
        <v>0</v>
      </c>
      <c r="I21" s="108">
        <f t="shared" si="3"/>
        <v>0</v>
      </c>
      <c r="J21" s="8"/>
      <c r="K21" s="8"/>
      <c r="L21" s="8"/>
      <c r="M21" s="8"/>
      <c r="N21" s="8"/>
      <c r="P21" s="103">
        <v>38</v>
      </c>
      <c r="Q21" s="90">
        <f>ROUND(P21*18/P3,0)</f>
        <v>53</v>
      </c>
    </row>
    <row r="22" spans="1:17" s="88" customFormat="1" ht="18" customHeight="1">
      <c r="A22" s="196"/>
      <c r="B22" s="307"/>
      <c r="C22" s="104"/>
      <c r="D22" s="105"/>
      <c r="E22" s="120"/>
      <c r="F22" s="12"/>
      <c r="G22" s="12"/>
      <c r="H22" s="107">
        <f t="shared" si="2"/>
        <v>0</v>
      </c>
      <c r="I22" s="108">
        <f t="shared" si="3"/>
        <v>0</v>
      </c>
      <c r="J22" s="8"/>
      <c r="K22" s="8"/>
      <c r="L22" s="8"/>
      <c r="M22" s="8"/>
      <c r="N22" s="8"/>
      <c r="P22" s="103">
        <v>39</v>
      </c>
      <c r="Q22" s="90">
        <f>ROUND(P22*18/P3,0)</f>
        <v>54</v>
      </c>
    </row>
    <row r="23" spans="1:17" s="88" customFormat="1" ht="18" customHeight="1">
      <c r="A23" s="196"/>
      <c r="B23" s="307"/>
      <c r="C23" s="104"/>
      <c r="D23" s="105"/>
      <c r="E23" s="106"/>
      <c r="F23" s="12"/>
      <c r="G23" s="12"/>
      <c r="H23" s="107">
        <f t="shared" si="2"/>
        <v>0</v>
      </c>
      <c r="I23" s="108">
        <f t="shared" si="3"/>
        <v>0</v>
      </c>
      <c r="J23" s="8"/>
      <c r="K23" s="8"/>
      <c r="L23" s="8"/>
      <c r="M23" s="8"/>
      <c r="N23" s="8"/>
      <c r="P23" s="103">
        <v>40</v>
      </c>
      <c r="Q23" s="90">
        <f>ROUND(P23*18/P3,0)</f>
        <v>55</v>
      </c>
    </row>
    <row r="24" spans="1:17" s="88" customFormat="1" ht="18" customHeight="1">
      <c r="A24" s="196"/>
      <c r="B24" s="307"/>
      <c r="C24" s="104"/>
      <c r="D24" s="105"/>
      <c r="E24" s="106"/>
      <c r="F24" s="12"/>
      <c r="G24" s="12"/>
      <c r="H24" s="107">
        <f t="shared" si="2"/>
        <v>0</v>
      </c>
      <c r="I24" s="108">
        <f t="shared" si="3"/>
        <v>0</v>
      </c>
      <c r="J24" s="8"/>
      <c r="K24" s="8"/>
      <c r="L24" s="8"/>
      <c r="M24" s="8"/>
      <c r="N24" s="8"/>
      <c r="P24" s="103">
        <v>41</v>
      </c>
      <c r="Q24" s="90">
        <f>ROUND(P24*18/P3,0)</f>
        <v>57</v>
      </c>
    </row>
    <row r="25" spans="1:17" s="88" customFormat="1" ht="18" customHeight="1">
      <c r="A25" s="196"/>
      <c r="B25" s="307"/>
      <c r="C25" s="104"/>
      <c r="D25" s="105"/>
      <c r="E25" s="120"/>
      <c r="F25" s="12"/>
      <c r="G25" s="12"/>
      <c r="H25" s="107">
        <f t="shared" si="2"/>
        <v>0</v>
      </c>
      <c r="I25" s="108">
        <f t="shared" si="3"/>
        <v>0</v>
      </c>
      <c r="J25" s="8"/>
      <c r="K25" s="8"/>
      <c r="L25" s="8"/>
      <c r="M25" s="8"/>
      <c r="N25" s="8"/>
      <c r="Q25" s="89"/>
    </row>
    <row r="26" spans="1:17" s="88" customFormat="1" ht="18" customHeight="1">
      <c r="A26" s="196"/>
      <c r="B26" s="240"/>
      <c r="C26" s="105"/>
      <c r="D26" s="137" t="s">
        <v>98</v>
      </c>
      <c r="E26" s="120"/>
      <c r="F26" s="104"/>
      <c r="G26" s="104"/>
      <c r="H26" s="107">
        <f t="shared" si="2"/>
        <v>0</v>
      </c>
      <c r="I26" s="108">
        <f t="shared" si="3"/>
        <v>0</v>
      </c>
      <c r="J26" s="8"/>
      <c r="K26" s="8"/>
      <c r="L26" s="8"/>
      <c r="M26" s="8"/>
      <c r="N26" s="8"/>
      <c r="Q26" s="89"/>
    </row>
    <row r="27" spans="1:17" s="88" customFormat="1" ht="18" customHeight="1">
      <c r="A27" s="196"/>
      <c r="B27" s="240"/>
      <c r="C27" s="104"/>
      <c r="D27" s="105"/>
      <c r="E27" s="106"/>
      <c r="F27" s="104"/>
      <c r="G27" s="104"/>
      <c r="H27" s="107">
        <f t="shared" si="2"/>
        <v>0</v>
      </c>
      <c r="I27" s="108">
        <f t="shared" si="3"/>
        <v>0</v>
      </c>
      <c r="J27" s="8"/>
      <c r="K27" s="8"/>
      <c r="L27" s="8"/>
      <c r="M27" s="8"/>
      <c r="N27" s="8"/>
      <c r="Q27" s="89"/>
    </row>
    <row r="28" spans="1:9" ht="24" customHeight="1">
      <c r="A28" s="1"/>
      <c r="B28" s="3"/>
      <c r="C28" s="138"/>
      <c r="D28" s="139">
        <f>SUM(D4:D27)</f>
        <v>571</v>
      </c>
      <c r="E28" s="138"/>
      <c r="F28" s="3"/>
      <c r="G28" s="140">
        <f>SUM(G4:G27)</f>
        <v>39</v>
      </c>
      <c r="H28" s="140">
        <f>SUM(H4:H27)</f>
        <v>6100000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169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319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10</v>
      </c>
      <c r="B4" s="307">
        <v>15.8</v>
      </c>
      <c r="C4" s="104">
        <v>38</v>
      </c>
      <c r="D4" s="124">
        <v>27</v>
      </c>
      <c r="E4" s="120"/>
      <c r="F4" s="104">
        <v>1</v>
      </c>
      <c r="G4" s="104">
        <v>10</v>
      </c>
      <c r="H4" s="107">
        <f>N4+I4</f>
        <v>1550000</v>
      </c>
      <c r="I4" s="108">
        <f aca="true" t="shared" si="0" ref="I4:I11"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38</v>
      </c>
      <c r="B5" s="307">
        <v>14.7</v>
      </c>
      <c r="C5" s="104">
        <v>36</v>
      </c>
      <c r="D5" s="124">
        <v>32</v>
      </c>
      <c r="E5" s="106"/>
      <c r="F5" s="104">
        <v>2</v>
      </c>
      <c r="G5" s="104">
        <v>8</v>
      </c>
      <c r="H5" s="107">
        <f aca="true" t="shared" si="1" ref="H5:H11">N5+I5</f>
        <v>1250000</v>
      </c>
      <c r="I5" s="108">
        <f t="shared" si="0"/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12</v>
      </c>
      <c r="B6" s="307">
        <v>19</v>
      </c>
      <c r="C6" s="105">
        <v>35</v>
      </c>
      <c r="D6" s="124">
        <v>31</v>
      </c>
      <c r="E6" s="120"/>
      <c r="F6" s="104">
        <v>3</v>
      </c>
      <c r="G6" s="12">
        <v>6</v>
      </c>
      <c r="H6" s="107">
        <f t="shared" si="1"/>
        <v>950000</v>
      </c>
      <c r="I6" s="108">
        <f t="shared" si="0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6" s="113" customFormat="1" ht="18" customHeight="1">
      <c r="A7" s="196" t="s">
        <v>40</v>
      </c>
      <c r="B7" s="307">
        <v>22.4</v>
      </c>
      <c r="C7" s="105">
        <v>35</v>
      </c>
      <c r="D7" s="124">
        <v>35</v>
      </c>
      <c r="E7" s="106"/>
      <c r="F7" s="104">
        <v>4</v>
      </c>
      <c r="G7" s="104">
        <v>5</v>
      </c>
      <c r="H7" s="107">
        <f t="shared" si="1"/>
        <v>770000</v>
      </c>
      <c r="I7" s="108">
        <f t="shared" si="0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9"/>
    </row>
    <row r="8" spans="1:14" s="113" customFormat="1" ht="18" customHeight="1">
      <c r="A8" s="196" t="s">
        <v>42</v>
      </c>
      <c r="B8" s="307">
        <v>16.4</v>
      </c>
      <c r="C8" s="104">
        <v>34</v>
      </c>
      <c r="D8" s="124">
        <v>32</v>
      </c>
      <c r="E8" s="106"/>
      <c r="F8" s="104">
        <v>5</v>
      </c>
      <c r="G8" s="104">
        <v>4</v>
      </c>
      <c r="H8" s="107">
        <f t="shared" si="1"/>
        <v>650000</v>
      </c>
      <c r="I8" s="108">
        <f t="shared" si="0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30</v>
      </c>
      <c r="B9" s="307">
        <v>10.7</v>
      </c>
      <c r="C9" s="105">
        <v>33</v>
      </c>
      <c r="D9" s="124">
        <v>33</v>
      </c>
      <c r="E9" s="120">
        <v>2.77</v>
      </c>
      <c r="F9" s="104">
        <v>6</v>
      </c>
      <c r="G9" s="121">
        <v>3</v>
      </c>
      <c r="H9" s="107">
        <f t="shared" si="1"/>
        <v>890000</v>
      </c>
      <c r="I9" s="108">
        <f t="shared" si="0"/>
        <v>410000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26</v>
      </c>
      <c r="B10" s="307">
        <v>22.4</v>
      </c>
      <c r="C10" s="104">
        <v>33</v>
      </c>
      <c r="D10" s="124">
        <v>34</v>
      </c>
      <c r="E10" s="106"/>
      <c r="F10" s="104">
        <v>7</v>
      </c>
      <c r="G10" s="104">
        <v>2</v>
      </c>
      <c r="H10" s="107">
        <f t="shared" si="1"/>
        <v>410000</v>
      </c>
      <c r="I10" s="108">
        <f t="shared" si="0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28</v>
      </c>
      <c r="B11" s="307">
        <v>12.3</v>
      </c>
      <c r="C11" s="104">
        <v>32</v>
      </c>
      <c r="D11" s="124">
        <v>31</v>
      </c>
      <c r="E11" s="120"/>
      <c r="F11" s="104">
        <v>8</v>
      </c>
      <c r="G11" s="104">
        <v>1</v>
      </c>
      <c r="H11" s="107">
        <f t="shared" si="1"/>
        <v>290000</v>
      </c>
      <c r="I11" s="108">
        <f t="shared" si="0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44</v>
      </c>
      <c r="B12" s="307">
        <v>14</v>
      </c>
      <c r="C12" s="104">
        <v>32</v>
      </c>
      <c r="D12" s="105">
        <v>30</v>
      </c>
      <c r="E12" s="106"/>
      <c r="F12" s="104"/>
      <c r="G12" s="104"/>
      <c r="H12" s="107">
        <f aca="true" t="shared" si="2" ref="H12:H27">I12</f>
        <v>50000</v>
      </c>
      <c r="I12" s="108">
        <f aca="true" t="shared" si="3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48</v>
      </c>
      <c r="B13" s="307">
        <v>6.7</v>
      </c>
      <c r="C13" s="105">
        <v>31</v>
      </c>
      <c r="D13" s="105">
        <v>33</v>
      </c>
      <c r="E13" s="120"/>
      <c r="F13" s="104"/>
      <c r="G13" s="104"/>
      <c r="H13" s="107">
        <f t="shared" si="2"/>
        <v>50000</v>
      </c>
      <c r="I13" s="108">
        <f t="shared" si="3"/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8</v>
      </c>
      <c r="B14" s="307">
        <v>23.3</v>
      </c>
      <c r="C14" s="104">
        <v>31</v>
      </c>
      <c r="D14" s="124">
        <v>40</v>
      </c>
      <c r="E14" s="120"/>
      <c r="F14" s="104"/>
      <c r="G14" s="104"/>
      <c r="H14" s="107">
        <f t="shared" si="2"/>
        <v>50000</v>
      </c>
      <c r="I14" s="108">
        <f t="shared" si="3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18</v>
      </c>
      <c r="B15" s="307">
        <v>14.3</v>
      </c>
      <c r="C15" s="104">
        <v>29</v>
      </c>
      <c r="D15" s="124">
        <v>31</v>
      </c>
      <c r="E15" s="106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34</v>
      </c>
      <c r="B16" s="307">
        <v>14.5</v>
      </c>
      <c r="C16" s="104">
        <v>28</v>
      </c>
      <c r="D16" s="124">
        <v>28</v>
      </c>
      <c r="E16" s="106"/>
      <c r="F16" s="12"/>
      <c r="G16" s="12"/>
      <c r="H16" s="107">
        <f t="shared" si="2"/>
        <v>50000</v>
      </c>
      <c r="I16" s="108">
        <f t="shared" si="3"/>
        <v>50000</v>
      </c>
    </row>
    <row r="17" spans="1:16" s="113" customFormat="1" ht="18" customHeight="1">
      <c r="A17" s="196" t="s">
        <v>36</v>
      </c>
      <c r="B17" s="307">
        <v>19.8</v>
      </c>
      <c r="C17" s="104">
        <v>27</v>
      </c>
      <c r="D17" s="124">
        <v>35</v>
      </c>
      <c r="E17" s="106"/>
      <c r="F17" s="12"/>
      <c r="G17" s="12"/>
      <c r="H17" s="107">
        <f t="shared" si="2"/>
        <v>50000</v>
      </c>
      <c r="I17" s="108">
        <f t="shared" si="3"/>
        <v>50000</v>
      </c>
      <c r="O17" s="118"/>
      <c r="P17" s="119"/>
    </row>
    <row r="18" spans="1:12" s="113" customFormat="1" ht="18" customHeight="1">
      <c r="A18" s="196" t="s">
        <v>50</v>
      </c>
      <c r="B18" s="307">
        <v>23.3</v>
      </c>
      <c r="C18" s="105">
        <v>26</v>
      </c>
      <c r="D18" s="105">
        <v>44</v>
      </c>
      <c r="E18" s="106"/>
      <c r="F18" s="104"/>
      <c r="G18" s="104"/>
      <c r="H18" s="107">
        <f t="shared" si="2"/>
        <v>50000</v>
      </c>
      <c r="I18" s="108">
        <f t="shared" si="3"/>
        <v>50000</v>
      </c>
      <c r="J18" s="119"/>
      <c r="K18" s="119"/>
      <c r="L18" s="119"/>
    </row>
    <row r="19" spans="1:12" s="113" customFormat="1" ht="18" customHeight="1">
      <c r="A19" s="196" t="s">
        <v>46</v>
      </c>
      <c r="B19" s="307">
        <v>19.5</v>
      </c>
      <c r="C19" s="104">
        <v>22</v>
      </c>
      <c r="D19" s="124">
        <v>40</v>
      </c>
      <c r="E19" s="106"/>
      <c r="F19" s="104"/>
      <c r="G19" s="104"/>
      <c r="H19" s="107">
        <f t="shared" si="2"/>
        <v>50000</v>
      </c>
      <c r="I19" s="108">
        <f t="shared" si="3"/>
        <v>50000</v>
      </c>
      <c r="J19" s="119"/>
      <c r="K19" s="119"/>
      <c r="L19" s="119"/>
    </row>
    <row r="20" spans="1:9" s="88" customFormat="1" ht="18" customHeight="1">
      <c r="A20" s="196" t="s">
        <v>14</v>
      </c>
      <c r="B20" s="307">
        <v>10.6</v>
      </c>
      <c r="C20" s="104">
        <v>21</v>
      </c>
      <c r="D20" s="124">
        <v>42</v>
      </c>
      <c r="E20" s="106"/>
      <c r="F20" s="12"/>
      <c r="G20" s="12"/>
      <c r="H20" s="107">
        <f t="shared" si="2"/>
        <v>50000</v>
      </c>
      <c r="I20" s="108">
        <f t="shared" si="3"/>
        <v>50000</v>
      </c>
    </row>
    <row r="21" spans="1:9" s="88" customFormat="1" ht="18" customHeight="1">
      <c r="A21" s="196" t="s">
        <v>16</v>
      </c>
      <c r="B21" s="307">
        <v>19.4</v>
      </c>
      <c r="C21" s="104">
        <v>19</v>
      </c>
      <c r="D21" s="124">
        <v>44</v>
      </c>
      <c r="E21" s="106"/>
      <c r="F21" s="12"/>
      <c r="G21" s="12"/>
      <c r="H21" s="107">
        <f t="shared" si="2"/>
        <v>50000</v>
      </c>
      <c r="I21" s="108">
        <f t="shared" si="3"/>
        <v>50000</v>
      </c>
    </row>
    <row r="22" spans="1:9" s="88" customFormat="1" ht="18" customHeight="1">
      <c r="A22" s="196"/>
      <c r="B22" s="307"/>
      <c r="C22" s="105"/>
      <c r="D22" s="105"/>
      <c r="E22" s="106"/>
      <c r="F22" s="12"/>
      <c r="G22" s="12"/>
      <c r="H22" s="107">
        <f t="shared" si="2"/>
        <v>0</v>
      </c>
      <c r="I22" s="108">
        <f t="shared" si="3"/>
        <v>0</v>
      </c>
    </row>
    <row r="23" spans="1:9" s="88" customFormat="1" ht="18" customHeight="1">
      <c r="A23" s="196"/>
      <c r="B23" s="307"/>
      <c r="C23" s="124"/>
      <c r="D23" s="124"/>
      <c r="E23" s="106"/>
      <c r="F23" s="12"/>
      <c r="G23" s="12"/>
      <c r="H23" s="107">
        <f t="shared" si="2"/>
        <v>0</v>
      </c>
      <c r="I23" s="108">
        <f t="shared" si="3"/>
        <v>0</v>
      </c>
    </row>
    <row r="24" spans="1:9" s="88" customFormat="1" ht="18" customHeight="1">
      <c r="A24" s="196"/>
      <c r="B24" s="307"/>
      <c r="C24" s="12"/>
      <c r="D24" s="124"/>
      <c r="E24" s="106"/>
      <c r="F24" s="12"/>
      <c r="G24" s="12"/>
      <c r="H24" s="107">
        <f t="shared" si="2"/>
        <v>0</v>
      </c>
      <c r="I24" s="108">
        <f t="shared" si="3"/>
        <v>0</v>
      </c>
    </row>
    <row r="25" spans="1:9" s="88" customFormat="1" ht="18" customHeight="1">
      <c r="A25" s="196"/>
      <c r="B25" s="307"/>
      <c r="C25" s="104"/>
      <c r="D25" s="124"/>
      <c r="E25" s="120"/>
      <c r="F25" s="12"/>
      <c r="G25" s="12"/>
      <c r="H25" s="107">
        <f t="shared" si="2"/>
        <v>0</v>
      </c>
      <c r="I25" s="108">
        <f t="shared" si="3"/>
        <v>0</v>
      </c>
    </row>
    <row r="26" spans="1:9" s="88" customFormat="1" ht="18" customHeight="1">
      <c r="A26" s="196"/>
      <c r="B26" s="307"/>
      <c r="C26" s="104"/>
      <c r="D26" s="124"/>
      <c r="E26" s="120"/>
      <c r="F26" s="104"/>
      <c r="G26" s="104"/>
      <c r="H26" s="107">
        <f t="shared" si="2"/>
        <v>0</v>
      </c>
      <c r="I26" s="108">
        <f t="shared" si="3"/>
        <v>0</v>
      </c>
    </row>
    <row r="27" spans="1:9" s="88" customFormat="1" ht="18" customHeight="1">
      <c r="A27" s="196"/>
      <c r="B27" s="240"/>
      <c r="C27" s="104"/>
      <c r="D27" s="105"/>
      <c r="E27" s="106"/>
      <c r="F27" s="104"/>
      <c r="G27" s="104"/>
      <c r="H27" s="107">
        <f t="shared" si="2"/>
        <v>0</v>
      </c>
      <c r="I27" s="108">
        <f t="shared" si="3"/>
        <v>0</v>
      </c>
    </row>
    <row r="28" spans="1:9" ht="24" customHeight="1">
      <c r="A28" s="1"/>
      <c r="B28" s="3"/>
      <c r="C28" s="138"/>
      <c r="D28" s="139">
        <f>SUM(D4:D27)</f>
        <v>622</v>
      </c>
      <c r="E28" s="138"/>
      <c r="F28" s="3"/>
      <c r="G28" s="140">
        <f>SUM(G4:G27)</f>
        <v>39</v>
      </c>
      <c r="H28" s="140">
        <f>SUM(H4:H27)</f>
        <v>7260000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109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315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42</v>
      </c>
      <c r="B4" s="307">
        <v>18.2</v>
      </c>
      <c r="C4" s="124">
        <v>42</v>
      </c>
      <c r="D4" s="105">
        <v>29</v>
      </c>
      <c r="E4" s="106">
        <v>13.37</v>
      </c>
      <c r="F4" s="104">
        <v>1</v>
      </c>
      <c r="G4" s="104">
        <v>10</v>
      </c>
      <c r="H4" s="107">
        <v>1650000</v>
      </c>
      <c r="I4" s="108">
        <f aca="true" t="shared" si="0" ref="I4:I11">IF(E4&gt;0,$N$13,0)+IF(C4&gt;0,50000,0)+IF(C12&lt;0,50000,0)</f>
        <v>410000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34</v>
      </c>
      <c r="B5" s="307">
        <v>15.1</v>
      </c>
      <c r="C5" s="104">
        <v>38</v>
      </c>
      <c r="D5" s="124">
        <v>30</v>
      </c>
      <c r="E5" s="120"/>
      <c r="F5" s="104">
        <v>2</v>
      </c>
      <c r="G5" s="104">
        <v>8</v>
      </c>
      <c r="H5" s="107">
        <f>N5+I5</f>
        <v>1250000</v>
      </c>
      <c r="I5" s="108">
        <f t="shared" si="0"/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38</v>
      </c>
      <c r="B6" s="307">
        <v>15</v>
      </c>
      <c r="C6" s="104">
        <v>37</v>
      </c>
      <c r="D6" s="105">
        <v>29</v>
      </c>
      <c r="E6" s="120">
        <v>22.79</v>
      </c>
      <c r="F6" s="12">
        <v>3</v>
      </c>
      <c r="G6" s="12">
        <v>6</v>
      </c>
      <c r="H6" s="107">
        <v>1050000</v>
      </c>
      <c r="I6" s="108">
        <f t="shared" si="0"/>
        <v>410000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8</v>
      </c>
      <c r="B7" s="307">
        <v>23.7</v>
      </c>
      <c r="C7" s="105">
        <v>37</v>
      </c>
      <c r="D7" s="105">
        <v>38</v>
      </c>
      <c r="E7" s="120"/>
      <c r="F7" s="104">
        <v>4</v>
      </c>
      <c r="G7" s="104">
        <v>5</v>
      </c>
      <c r="H7" s="107">
        <f>N7+I7</f>
        <v>770000</v>
      </c>
      <c r="I7" s="108">
        <f t="shared" si="0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22</v>
      </c>
      <c r="B8" s="307">
        <v>14.5</v>
      </c>
      <c r="C8" s="104">
        <v>35</v>
      </c>
      <c r="D8" s="105">
        <v>33</v>
      </c>
      <c r="E8" s="106"/>
      <c r="F8" s="104">
        <v>5</v>
      </c>
      <c r="G8" s="104">
        <v>4</v>
      </c>
      <c r="H8" s="107">
        <f>N8+I8</f>
        <v>650000</v>
      </c>
      <c r="I8" s="108">
        <f t="shared" si="0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48</v>
      </c>
      <c r="B9" s="307">
        <v>6.6</v>
      </c>
      <c r="C9" s="104">
        <v>31</v>
      </c>
      <c r="D9" s="124">
        <v>30</v>
      </c>
      <c r="E9" s="106">
        <v>6.49</v>
      </c>
      <c r="F9" s="121">
        <v>6</v>
      </c>
      <c r="G9" s="121">
        <v>3</v>
      </c>
      <c r="H9" s="107">
        <f>N9+I9</f>
        <v>890000</v>
      </c>
      <c r="I9" s="108">
        <f t="shared" si="0"/>
        <v>410000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28</v>
      </c>
      <c r="B10" s="307">
        <v>12.2</v>
      </c>
      <c r="C10" s="105">
        <v>31</v>
      </c>
      <c r="D10" s="124">
        <v>34</v>
      </c>
      <c r="E10" s="106"/>
      <c r="F10" s="104">
        <v>7</v>
      </c>
      <c r="G10" s="104">
        <v>2</v>
      </c>
      <c r="H10" s="107">
        <f>N10+I10</f>
        <v>410000</v>
      </c>
      <c r="I10" s="108">
        <f t="shared" si="0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32</v>
      </c>
      <c r="B11" s="307">
        <v>14.1</v>
      </c>
      <c r="C11" s="104">
        <v>31</v>
      </c>
      <c r="D11" s="124">
        <v>36</v>
      </c>
      <c r="E11" s="106">
        <v>8.67</v>
      </c>
      <c r="F11" s="104">
        <v>8</v>
      </c>
      <c r="G11" s="104">
        <v>1</v>
      </c>
      <c r="H11" s="107">
        <v>390000</v>
      </c>
      <c r="I11" s="108">
        <f t="shared" si="0"/>
        <v>410000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16</v>
      </c>
      <c r="B12" s="307">
        <v>19.3</v>
      </c>
      <c r="C12" s="105">
        <v>31</v>
      </c>
      <c r="D12" s="105">
        <v>33</v>
      </c>
      <c r="E12" s="106"/>
      <c r="F12" s="104"/>
      <c r="G12" s="104"/>
      <c r="H12" s="107">
        <f>I12</f>
        <v>50000</v>
      </c>
      <c r="I12" s="108">
        <f>IF(E12&gt;0,$N$13,0)+IF(C12&gt;0,50000,0)+IF(C12&lt;0,50000,0)</f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18</v>
      </c>
      <c r="B13" s="307">
        <v>14.1</v>
      </c>
      <c r="C13" s="104">
        <v>30</v>
      </c>
      <c r="D13" s="105">
        <v>37</v>
      </c>
      <c r="E13" s="120"/>
      <c r="F13" s="104"/>
      <c r="G13" s="104"/>
      <c r="H13" s="107">
        <f aca="true" t="shared" si="1" ref="H13:H27">I13</f>
        <v>50000</v>
      </c>
      <c r="I13" s="108">
        <f aca="true" t="shared" si="2" ref="I13:I27">IF(E13&gt;0,$N$13,0)+IF(C13&gt;0,50000,0)+IF(C13&lt;0,50000,0)</f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26</v>
      </c>
      <c r="B14" s="307">
        <v>22.3</v>
      </c>
      <c r="C14" s="105">
        <v>29</v>
      </c>
      <c r="D14" s="124">
        <v>34</v>
      </c>
      <c r="E14" s="106"/>
      <c r="F14" s="104"/>
      <c r="G14" s="104"/>
      <c r="H14" s="107">
        <f t="shared" si="1"/>
        <v>50000</v>
      </c>
      <c r="I14" s="108">
        <f t="shared" si="2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46</v>
      </c>
      <c r="B15" s="307">
        <v>19.4</v>
      </c>
      <c r="C15" s="104">
        <v>28</v>
      </c>
      <c r="D15" s="105">
        <v>35</v>
      </c>
      <c r="E15" s="120"/>
      <c r="F15" s="104"/>
      <c r="G15" s="104"/>
      <c r="H15" s="107">
        <f t="shared" si="1"/>
        <v>50000</v>
      </c>
      <c r="I15" s="108">
        <f t="shared" si="2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/>
      <c r="B16" s="307"/>
      <c r="C16" s="104"/>
      <c r="D16" s="105"/>
      <c r="E16" s="120"/>
      <c r="F16" s="12"/>
      <c r="G16" s="12"/>
      <c r="H16" s="107">
        <f t="shared" si="1"/>
        <v>0</v>
      </c>
      <c r="I16" s="108">
        <f t="shared" si="2"/>
        <v>0</v>
      </c>
    </row>
    <row r="17" spans="1:13" s="113" customFormat="1" ht="18" customHeight="1">
      <c r="A17" s="196"/>
      <c r="B17" s="307"/>
      <c r="C17" s="104"/>
      <c r="D17" s="105"/>
      <c r="E17" s="120"/>
      <c r="F17" s="12"/>
      <c r="G17" s="12"/>
      <c r="H17" s="107">
        <f t="shared" si="1"/>
        <v>0</v>
      </c>
      <c r="I17" s="108">
        <f t="shared" si="2"/>
        <v>0</v>
      </c>
      <c r="J17" s="118"/>
      <c r="K17" s="118"/>
      <c r="L17" s="118"/>
      <c r="M17" s="119"/>
    </row>
    <row r="18" spans="1:13" s="113" customFormat="1" ht="18" customHeight="1">
      <c r="A18" s="196"/>
      <c r="B18" s="307"/>
      <c r="C18" s="104"/>
      <c r="D18" s="124"/>
      <c r="E18" s="106"/>
      <c r="F18" s="104"/>
      <c r="G18" s="104"/>
      <c r="H18" s="107">
        <f t="shared" si="1"/>
        <v>0</v>
      </c>
      <c r="I18" s="108">
        <f t="shared" si="2"/>
        <v>0</v>
      </c>
      <c r="J18" s="119"/>
      <c r="K18" s="119"/>
      <c r="L18" s="119"/>
      <c r="M18" s="119"/>
    </row>
    <row r="19" spans="1:13" s="113" customFormat="1" ht="18" customHeight="1">
      <c r="A19" s="196"/>
      <c r="B19" s="307"/>
      <c r="C19" s="105"/>
      <c r="D19" s="105"/>
      <c r="E19" s="106"/>
      <c r="F19" s="104"/>
      <c r="G19" s="104"/>
      <c r="H19" s="107">
        <f t="shared" si="1"/>
        <v>0</v>
      </c>
      <c r="I19" s="108">
        <f t="shared" si="2"/>
        <v>0</v>
      </c>
      <c r="J19" s="119"/>
      <c r="K19" s="119"/>
      <c r="L19" s="119"/>
      <c r="M19" s="119"/>
    </row>
    <row r="20" spans="1:9" s="88" customFormat="1" ht="18" customHeight="1">
      <c r="A20" s="196"/>
      <c r="B20" s="307"/>
      <c r="C20" s="12"/>
      <c r="D20" s="105"/>
      <c r="E20" s="106"/>
      <c r="F20" s="12"/>
      <c r="G20" s="12"/>
      <c r="H20" s="107">
        <f t="shared" si="1"/>
        <v>0</v>
      </c>
      <c r="I20" s="108">
        <f t="shared" si="2"/>
        <v>0</v>
      </c>
    </row>
    <row r="21" spans="1:9" s="88" customFormat="1" ht="18" customHeight="1">
      <c r="A21" s="196"/>
      <c r="B21" s="307"/>
      <c r="C21" s="104"/>
      <c r="D21" s="105"/>
      <c r="E21" s="106"/>
      <c r="F21" s="12"/>
      <c r="G21" s="12"/>
      <c r="H21" s="107">
        <f t="shared" si="1"/>
        <v>0</v>
      </c>
      <c r="I21" s="108">
        <f t="shared" si="2"/>
        <v>0</v>
      </c>
    </row>
    <row r="22" spans="1:9" s="88" customFormat="1" ht="18" customHeight="1">
      <c r="A22" s="196"/>
      <c r="B22" s="307"/>
      <c r="C22" s="104"/>
      <c r="D22" s="124"/>
      <c r="E22" s="106"/>
      <c r="F22" s="12"/>
      <c r="G22" s="12"/>
      <c r="H22" s="107">
        <f t="shared" si="1"/>
        <v>0</v>
      </c>
      <c r="I22" s="108">
        <f t="shared" si="2"/>
        <v>0</v>
      </c>
    </row>
    <row r="23" spans="1:9" s="88" customFormat="1" ht="18" customHeight="1">
      <c r="A23" s="196"/>
      <c r="B23" s="307"/>
      <c r="C23" s="104"/>
      <c r="D23" s="124"/>
      <c r="E23" s="106"/>
      <c r="F23" s="12"/>
      <c r="G23" s="12"/>
      <c r="H23" s="107">
        <f t="shared" si="1"/>
        <v>0</v>
      </c>
      <c r="I23" s="108">
        <f t="shared" si="2"/>
        <v>0</v>
      </c>
    </row>
    <row r="24" spans="1:9" s="88" customFormat="1" ht="18" customHeight="1">
      <c r="A24" s="196"/>
      <c r="B24" s="307"/>
      <c r="C24" s="105"/>
      <c r="D24" s="105"/>
      <c r="E24" s="120"/>
      <c r="F24" s="12"/>
      <c r="G24" s="12"/>
      <c r="H24" s="107">
        <f t="shared" si="1"/>
        <v>0</v>
      </c>
      <c r="I24" s="108">
        <f t="shared" si="2"/>
        <v>0</v>
      </c>
    </row>
    <row r="25" spans="1:9" s="88" customFormat="1" ht="18" customHeight="1">
      <c r="A25" s="196"/>
      <c r="B25" s="240"/>
      <c r="C25" s="104"/>
      <c r="D25" s="105"/>
      <c r="E25" s="106"/>
      <c r="F25" s="12"/>
      <c r="G25" s="12"/>
      <c r="H25" s="107">
        <f t="shared" si="1"/>
        <v>0</v>
      </c>
      <c r="I25" s="108">
        <f t="shared" si="2"/>
        <v>0</v>
      </c>
    </row>
    <row r="26" spans="1:9" s="88" customFormat="1" ht="18" customHeight="1">
      <c r="A26" s="196"/>
      <c r="B26" s="240"/>
      <c r="C26" s="104"/>
      <c r="D26" s="105"/>
      <c r="E26" s="106"/>
      <c r="F26" s="104"/>
      <c r="G26" s="104"/>
      <c r="H26" s="107">
        <f t="shared" si="1"/>
        <v>0</v>
      </c>
      <c r="I26" s="108">
        <f t="shared" si="2"/>
        <v>0</v>
      </c>
    </row>
    <row r="27" spans="1:9" s="88" customFormat="1" ht="18" customHeight="1">
      <c r="A27" s="196"/>
      <c r="B27" s="240"/>
      <c r="C27" s="104"/>
      <c r="D27" s="105"/>
      <c r="E27" s="106"/>
      <c r="F27" s="104"/>
      <c r="G27" s="104"/>
      <c r="H27" s="107">
        <f t="shared" si="1"/>
        <v>0</v>
      </c>
      <c r="I27" s="108">
        <f t="shared" si="2"/>
        <v>0</v>
      </c>
    </row>
    <row r="28" spans="1:9" ht="24" customHeight="1">
      <c r="A28" s="1"/>
      <c r="B28" s="3"/>
      <c r="C28" s="138"/>
      <c r="D28" s="139">
        <f>SUM(D4:D27)</f>
        <v>398</v>
      </c>
      <c r="E28" s="138"/>
      <c r="F28" s="3"/>
      <c r="G28" s="140">
        <f>SUM(G4:G27)</f>
        <v>39</v>
      </c>
      <c r="H28" s="140">
        <f>SUM(H4:H27)</f>
        <v>7260000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306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305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458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48</v>
      </c>
      <c r="B4" s="307">
        <v>7.4</v>
      </c>
      <c r="C4" s="417">
        <v>69</v>
      </c>
      <c r="D4" s="456"/>
      <c r="E4" s="106"/>
      <c r="F4" s="491">
        <v>1</v>
      </c>
      <c r="G4" s="104">
        <v>10</v>
      </c>
      <c r="H4" s="107">
        <v>950000</v>
      </c>
      <c r="I4" s="108">
        <f>IF(E4&gt;0,#REF!,0)+IF(C4&gt;0,50000,0)+IF(C13&lt;0,50000,0)</f>
        <v>50000</v>
      </c>
      <c r="J4" s="109" t="s">
        <v>88</v>
      </c>
      <c r="K4" s="110"/>
      <c r="L4" s="111"/>
      <c r="M4" s="112">
        <v>10</v>
      </c>
      <c r="N4" s="107">
        <f>N12*25%</f>
        <v>1250000</v>
      </c>
    </row>
    <row r="5" spans="1:14" s="113" customFormat="1" ht="18" customHeight="1">
      <c r="A5" s="196" t="s">
        <v>308</v>
      </c>
      <c r="B5" s="307">
        <v>11.4</v>
      </c>
      <c r="C5" s="417">
        <v>69</v>
      </c>
      <c r="D5" s="457"/>
      <c r="E5" s="106"/>
      <c r="F5" s="492"/>
      <c r="G5" s="104" t="s">
        <v>103</v>
      </c>
      <c r="H5" s="107" t="s">
        <v>103</v>
      </c>
      <c r="I5" s="108">
        <f>IF(E5&gt;0,#REF!,0)+IF(C6&gt;0,50000,0)+IF(C14&lt;0,50000,0)</f>
        <v>50000</v>
      </c>
      <c r="J5" s="114" t="s">
        <v>89</v>
      </c>
      <c r="K5" s="115"/>
      <c r="L5" s="116"/>
      <c r="M5" s="117">
        <v>8</v>
      </c>
      <c r="N5" s="107">
        <f>N12*20%</f>
        <v>1000000</v>
      </c>
    </row>
    <row r="6" spans="1:14" s="113" customFormat="1" ht="18" customHeight="1">
      <c r="A6" s="196" t="s">
        <v>16</v>
      </c>
      <c r="B6" s="307">
        <v>19.2</v>
      </c>
      <c r="C6" s="417">
        <v>69</v>
      </c>
      <c r="D6" s="457"/>
      <c r="E6" s="120"/>
      <c r="F6" s="492"/>
      <c r="G6" s="104">
        <v>10</v>
      </c>
      <c r="H6" s="107">
        <v>950000</v>
      </c>
      <c r="I6" s="108">
        <f>IF(E6&gt;0,#REF!,0)+IF(C7&gt;0,50000,0)+IF(C15&lt;0,50000,0)</f>
        <v>50000</v>
      </c>
      <c r="J6" s="114" t="s">
        <v>90</v>
      </c>
      <c r="K6" s="115"/>
      <c r="L6" s="116"/>
      <c r="M6" s="117">
        <v>6</v>
      </c>
      <c r="N6" s="107">
        <f>N12*15%</f>
        <v>750000</v>
      </c>
    </row>
    <row r="7" spans="1:18" s="113" customFormat="1" ht="18" customHeight="1">
      <c r="A7" s="196" t="s">
        <v>40</v>
      </c>
      <c r="B7" s="307">
        <v>22.4</v>
      </c>
      <c r="C7" s="417">
        <v>69</v>
      </c>
      <c r="D7" s="457"/>
      <c r="E7" s="106"/>
      <c r="F7" s="493"/>
      <c r="G7" s="104">
        <v>10</v>
      </c>
      <c r="H7" s="107">
        <v>950000</v>
      </c>
      <c r="I7" s="108">
        <f>IF(E7&gt;0,#REF!,0)+IF(C8&gt;0,50000,0)+IF(C16&lt;0,50000,0)</f>
        <v>50000</v>
      </c>
      <c r="J7" s="114" t="s">
        <v>91</v>
      </c>
      <c r="K7" s="115"/>
      <c r="L7" s="116"/>
      <c r="M7" s="117">
        <v>5</v>
      </c>
      <c r="N7" s="107">
        <f>N12*12%</f>
        <v>600000</v>
      </c>
      <c r="O7" s="118"/>
      <c r="P7" s="118"/>
      <c r="Q7" s="118"/>
      <c r="R7" s="119"/>
    </row>
    <row r="8" spans="1:14" s="113" customFormat="1" ht="18" customHeight="1">
      <c r="A8" s="196" t="s">
        <v>28</v>
      </c>
      <c r="B8" s="307">
        <v>12.2</v>
      </c>
      <c r="C8" s="417">
        <v>70</v>
      </c>
      <c r="D8" s="457"/>
      <c r="E8" s="106"/>
      <c r="F8" s="494">
        <v>2</v>
      </c>
      <c r="G8" s="104">
        <v>5</v>
      </c>
      <c r="H8" s="107">
        <v>400000</v>
      </c>
      <c r="I8" s="108">
        <f>IF(E8&gt;0,#REF!,0)+IF(C9&gt;0,50000,0)+IF(C17&lt;0,50000,0)</f>
        <v>50000</v>
      </c>
      <c r="J8" s="114" t="s">
        <v>92</v>
      </c>
      <c r="K8" s="115"/>
      <c r="L8" s="116"/>
      <c r="M8" s="117">
        <v>4</v>
      </c>
      <c r="N8" s="107">
        <f>N12*10%</f>
        <v>500000</v>
      </c>
    </row>
    <row r="9" spans="1:14" s="113" customFormat="1" ht="18" customHeight="1">
      <c r="A9" s="196" t="s">
        <v>34</v>
      </c>
      <c r="B9" s="307">
        <v>15</v>
      </c>
      <c r="C9" s="418">
        <v>70</v>
      </c>
      <c r="D9" s="456"/>
      <c r="E9" s="120"/>
      <c r="F9" s="492"/>
      <c r="G9" s="104">
        <v>5</v>
      </c>
      <c r="H9" s="107">
        <v>400000</v>
      </c>
      <c r="I9" s="108">
        <f>IF(E9&gt;0,#REF!,0)+IF(C10&gt;0,50000,0)+IF(C18&lt;0,50000,0)</f>
        <v>50000</v>
      </c>
      <c r="J9" s="114" t="s">
        <v>93</v>
      </c>
      <c r="K9" s="115"/>
      <c r="L9" s="116"/>
      <c r="M9" s="117">
        <v>3</v>
      </c>
      <c r="N9" s="107">
        <f>N12*8%</f>
        <v>400000</v>
      </c>
    </row>
    <row r="10" spans="1:14" s="113" customFormat="1" ht="18" customHeight="1">
      <c r="A10" s="196" t="s">
        <v>10</v>
      </c>
      <c r="B10" s="307">
        <v>15.8</v>
      </c>
      <c r="C10" s="417">
        <v>70</v>
      </c>
      <c r="D10" s="456"/>
      <c r="E10" s="120"/>
      <c r="F10" s="492"/>
      <c r="G10" s="104">
        <v>5</v>
      </c>
      <c r="H10" s="107">
        <v>400000</v>
      </c>
      <c r="I10" s="108">
        <f>IF(E10&gt;0,#REF!,0)+IF(C11&gt;0,50000,0)+IF(C19&lt;0,50000,0)</f>
        <v>50000</v>
      </c>
      <c r="J10" s="114" t="s">
        <v>94</v>
      </c>
      <c r="K10" s="115"/>
      <c r="L10" s="116"/>
      <c r="M10" s="117">
        <v>2</v>
      </c>
      <c r="N10" s="107">
        <f>N12*6%</f>
        <v>300000</v>
      </c>
    </row>
    <row r="11" spans="1:14" s="113" customFormat="1" ht="18" customHeight="1">
      <c r="A11" s="196" t="s">
        <v>8</v>
      </c>
      <c r="B11" s="307">
        <v>23.6</v>
      </c>
      <c r="C11" s="417">
        <v>70</v>
      </c>
      <c r="D11" s="457"/>
      <c r="E11" s="106"/>
      <c r="F11" s="495"/>
      <c r="G11" s="104">
        <v>5</v>
      </c>
      <c r="H11" s="107">
        <v>400000</v>
      </c>
      <c r="I11" s="108">
        <f>IF(E11&gt;0,#REF!,0)+IF(C12&gt;0,50000,0)+IF(C20&lt;0,50000,0)</f>
        <v>50000</v>
      </c>
      <c r="J11" s="114" t="s">
        <v>95</v>
      </c>
      <c r="K11" s="115"/>
      <c r="L11" s="116"/>
      <c r="M11" s="117">
        <v>1</v>
      </c>
      <c r="N11" s="107">
        <f>N12*4%</f>
        <v>200000</v>
      </c>
    </row>
    <row r="12" spans="1:14" s="113" customFormat="1" ht="18" customHeight="1">
      <c r="A12" s="196" t="s">
        <v>30</v>
      </c>
      <c r="B12" s="307">
        <v>11.9</v>
      </c>
      <c r="C12" s="417">
        <v>71</v>
      </c>
      <c r="D12" s="456"/>
      <c r="E12" s="106"/>
      <c r="F12" s="491">
        <v>3</v>
      </c>
      <c r="G12" s="104"/>
      <c r="H12" s="107">
        <f>I12</f>
        <v>50000</v>
      </c>
      <c r="I12" s="108">
        <f>IF(E12&gt;0,#REF!,0)+IF(C12&gt;0,50000,0)+IF(C12&lt;0,50000,0)</f>
        <v>50000</v>
      </c>
      <c r="J12" s="122" t="s">
        <v>96</v>
      </c>
      <c r="K12" s="115"/>
      <c r="L12" s="116"/>
      <c r="M12" s="117"/>
      <c r="N12" s="123">
        <v>5000000</v>
      </c>
    </row>
    <row r="13" spans="1:14" s="113" customFormat="1" ht="18" customHeight="1">
      <c r="A13" s="196" t="s">
        <v>22</v>
      </c>
      <c r="B13" s="307">
        <v>14.5</v>
      </c>
      <c r="C13" s="209">
        <v>71</v>
      </c>
      <c r="D13" s="456"/>
      <c r="E13" s="106"/>
      <c r="F13" s="492"/>
      <c r="G13" s="104"/>
      <c r="H13" s="107">
        <f aca="true" t="shared" si="0" ref="H13:H23">I13</f>
        <v>50000</v>
      </c>
      <c r="I13" s="108">
        <f>IF(E13&gt;0,#REF!,0)+IF(C13&gt;0,50000,0)+IF(C13&lt;0,50000,0)</f>
        <v>50000</v>
      </c>
      <c r="J13" s="144" t="s">
        <v>97</v>
      </c>
      <c r="K13" s="11"/>
      <c r="L13" s="11"/>
      <c r="M13" s="12">
        <v>1</v>
      </c>
      <c r="N13" s="107">
        <f>N10</f>
        <v>300000</v>
      </c>
    </row>
    <row r="14" spans="1:9" s="113" customFormat="1" ht="18" customHeight="1">
      <c r="A14" s="196" t="s">
        <v>38</v>
      </c>
      <c r="B14" s="307">
        <v>14.9</v>
      </c>
      <c r="C14" s="417">
        <v>71</v>
      </c>
      <c r="D14" s="457"/>
      <c r="E14" s="106"/>
      <c r="F14" s="492"/>
      <c r="G14" s="104"/>
      <c r="H14" s="107">
        <f t="shared" si="0"/>
        <v>50000</v>
      </c>
      <c r="I14" s="108">
        <f>IF(E14&gt;0,#REF!,0)+IF(C14&gt;0,50000,0)+IF(C14&lt;0,50000,0)</f>
        <v>50000</v>
      </c>
    </row>
    <row r="15" spans="1:9" s="113" customFormat="1" ht="18" customHeight="1">
      <c r="A15" s="196" t="s">
        <v>50</v>
      </c>
      <c r="B15" s="307">
        <v>23.2</v>
      </c>
      <c r="C15" s="417">
        <v>71</v>
      </c>
      <c r="D15" s="456"/>
      <c r="E15" s="106"/>
      <c r="F15" s="493"/>
      <c r="G15" s="104"/>
      <c r="H15" s="107">
        <f t="shared" si="0"/>
        <v>50000</v>
      </c>
      <c r="I15" s="108">
        <f>IF(E15&gt;0,#REF!,0)+IF(C15&gt;0,50000,0)+IF(C15&lt;0,50000,0)</f>
        <v>50000</v>
      </c>
    </row>
    <row r="16" spans="1:9" s="113" customFormat="1" ht="18" customHeight="1">
      <c r="A16" s="196" t="s">
        <v>52</v>
      </c>
      <c r="B16" s="307">
        <v>13.4</v>
      </c>
      <c r="C16" s="417">
        <v>73</v>
      </c>
      <c r="D16" s="456"/>
      <c r="E16" s="120"/>
      <c r="F16" s="494">
        <v>4</v>
      </c>
      <c r="G16" s="12"/>
      <c r="H16" s="107">
        <f t="shared" si="0"/>
        <v>50000</v>
      </c>
      <c r="I16" s="108">
        <f>IF(E16&gt;0,#REF!,0)+IF(C16&gt;0,50000,0)+IF(C16&lt;0,50000,0)</f>
        <v>50000</v>
      </c>
    </row>
    <row r="17" spans="1:13" s="113" customFormat="1" ht="18" customHeight="1">
      <c r="A17" s="196" t="s">
        <v>32</v>
      </c>
      <c r="B17" s="307">
        <v>14</v>
      </c>
      <c r="C17" s="418">
        <v>73</v>
      </c>
      <c r="D17" s="456"/>
      <c r="E17" s="106"/>
      <c r="F17" s="492"/>
      <c r="G17" s="12"/>
      <c r="H17" s="107">
        <f t="shared" si="0"/>
        <v>50000</v>
      </c>
      <c r="I17" s="108">
        <f>IF(E17&gt;0,#REF!,0)+IF(C17&gt;0,50000,0)+IF(C17&lt;0,50000,0)</f>
        <v>50000</v>
      </c>
      <c r="J17" s="118"/>
      <c r="K17" s="118"/>
      <c r="L17" s="118"/>
      <c r="M17" s="119"/>
    </row>
    <row r="18" spans="1:14" s="113" customFormat="1" ht="18" customHeight="1">
      <c r="A18" s="196" t="s">
        <v>12</v>
      </c>
      <c r="B18" s="307">
        <v>19</v>
      </c>
      <c r="C18" s="420">
        <v>73</v>
      </c>
      <c r="D18" s="457"/>
      <c r="E18" s="106"/>
      <c r="F18" s="492"/>
      <c r="G18" s="104"/>
      <c r="H18" s="107">
        <f t="shared" si="0"/>
        <v>50000</v>
      </c>
      <c r="I18" s="108">
        <f>IF(E18&gt;0,#REF!,0)+IF(C18&gt;0,50000,0)+IF(C18&lt;0,50000,0)</f>
        <v>50000</v>
      </c>
      <c r="J18" s="12" t="s">
        <v>104</v>
      </c>
      <c r="K18" s="12" t="s">
        <v>85</v>
      </c>
      <c r="L18" s="12"/>
      <c r="M18" s="12" t="s">
        <v>105</v>
      </c>
      <c r="N18" s="12"/>
    </row>
    <row r="19" spans="1:14" s="113" customFormat="1" ht="18" customHeight="1">
      <c r="A19" s="196" t="s">
        <v>36</v>
      </c>
      <c r="B19" s="307">
        <v>19.7</v>
      </c>
      <c r="C19" s="417">
        <v>73</v>
      </c>
      <c r="D19" s="456"/>
      <c r="E19" s="120"/>
      <c r="F19" s="495"/>
      <c r="G19" s="104"/>
      <c r="H19" s="107">
        <f t="shared" si="0"/>
        <v>50000</v>
      </c>
      <c r="I19" s="108">
        <f>IF(E19&gt;0,#REF!,0)+IF(C19&gt;0,50000,0)+IF(C19&lt;0,50000,0)</f>
        <v>50000</v>
      </c>
      <c r="J19" s="12">
        <v>1</v>
      </c>
      <c r="K19" s="12" t="s">
        <v>106</v>
      </c>
      <c r="L19" s="12">
        <v>10</v>
      </c>
      <c r="M19" s="107" t="s">
        <v>106</v>
      </c>
      <c r="N19" s="107">
        <f>N12*0.2</f>
        <v>1000000</v>
      </c>
    </row>
    <row r="20" spans="1:14" s="88" customFormat="1" ht="18" customHeight="1">
      <c r="A20" s="196" t="s">
        <v>44</v>
      </c>
      <c r="B20" s="307">
        <v>13.9</v>
      </c>
      <c r="C20" s="417">
        <v>79</v>
      </c>
      <c r="D20" s="456"/>
      <c r="E20" s="120"/>
      <c r="F20" s="491">
        <v>5</v>
      </c>
      <c r="G20" s="12"/>
      <c r="H20" s="107">
        <f t="shared" si="0"/>
        <v>50000</v>
      </c>
      <c r="I20" s="108">
        <f>IF(E20&gt;0,#REF!,0)+IF(C20&gt;0,50000,0)+IF(C20&lt;0,50000,0)</f>
        <v>50000</v>
      </c>
      <c r="J20" s="12">
        <v>2</v>
      </c>
      <c r="K20" s="12" t="s">
        <v>106</v>
      </c>
      <c r="L20" s="12">
        <v>6</v>
      </c>
      <c r="M20" s="107" t="s">
        <v>106</v>
      </c>
      <c r="N20" s="107">
        <f>N12*0.15</f>
        <v>750000</v>
      </c>
    </row>
    <row r="21" spans="1:14" s="88" customFormat="1" ht="18" customHeight="1">
      <c r="A21" s="196" t="s">
        <v>18</v>
      </c>
      <c r="B21" s="307">
        <v>14.1</v>
      </c>
      <c r="C21" s="417">
        <v>79</v>
      </c>
      <c r="D21" s="456"/>
      <c r="E21" s="106"/>
      <c r="F21" s="492"/>
      <c r="G21" s="12"/>
      <c r="H21" s="107">
        <f t="shared" si="0"/>
        <v>50000</v>
      </c>
      <c r="I21" s="108">
        <f>IF(E21&gt;0,#REF!,0)+IF(C21&gt;0,50000,0)+IF(C21&lt;0,50000,0)</f>
        <v>50000</v>
      </c>
      <c r="J21" s="12">
        <v>3</v>
      </c>
      <c r="K21" s="12" t="s">
        <v>106</v>
      </c>
      <c r="L21" s="12">
        <v>4</v>
      </c>
      <c r="M21" s="107" t="s">
        <v>106</v>
      </c>
      <c r="N21" s="107">
        <f>N12*0.1</f>
        <v>500000</v>
      </c>
    </row>
    <row r="22" spans="1:14" s="88" customFormat="1" ht="18" customHeight="1">
      <c r="A22" s="196" t="s">
        <v>42</v>
      </c>
      <c r="B22" s="307">
        <v>18.2</v>
      </c>
      <c r="C22" s="417">
        <v>79</v>
      </c>
      <c r="D22" s="456"/>
      <c r="E22" s="106"/>
      <c r="F22" s="492"/>
      <c r="G22" s="12"/>
      <c r="H22" s="107">
        <f t="shared" si="0"/>
        <v>50000</v>
      </c>
      <c r="I22" s="108">
        <f>IF(E22&gt;0,#REF!,0)+IF(C22&gt;0,50000,0)+IF(C22&lt;0,50000,0)</f>
        <v>50000</v>
      </c>
      <c r="J22" s="12">
        <v>4</v>
      </c>
      <c r="K22" s="12" t="s">
        <v>106</v>
      </c>
      <c r="L22" s="12">
        <v>2</v>
      </c>
      <c r="M22" s="107" t="s">
        <v>106</v>
      </c>
      <c r="N22" s="107">
        <f>N12*0.05</f>
        <v>250000</v>
      </c>
    </row>
    <row r="23" spans="1:14" s="88" customFormat="1" ht="18" customHeight="1">
      <c r="A23" s="196" t="s">
        <v>26</v>
      </c>
      <c r="B23" s="307">
        <v>22.3</v>
      </c>
      <c r="C23" s="417">
        <v>79</v>
      </c>
      <c r="D23" s="456"/>
      <c r="E23" s="106"/>
      <c r="F23" s="493"/>
      <c r="G23" s="12"/>
      <c r="H23" s="107">
        <f t="shared" si="0"/>
        <v>50000</v>
      </c>
      <c r="I23" s="108">
        <f>IF(E23&gt;0,#REF!,0)+IF(C23&gt;0,50000,0)+IF(C23&lt;0,50000,0)</f>
        <v>50000</v>
      </c>
      <c r="L23" s="145"/>
      <c r="M23" s="146"/>
      <c r="N23" s="146"/>
    </row>
    <row r="24" spans="1:14" s="88" customFormat="1" ht="18" customHeight="1">
      <c r="A24" s="196"/>
      <c r="B24" s="307"/>
      <c r="C24" s="420"/>
      <c r="D24" s="456"/>
      <c r="E24" s="120"/>
      <c r="F24" s="12"/>
      <c r="G24" s="12"/>
      <c r="H24" s="107"/>
      <c r="I24" s="108">
        <f>IF(E24&gt;0,#REF!,0)+IF(C24&gt;0,50000,0)+IF(C24&lt;0,50000,0)</f>
        <v>0</v>
      </c>
      <c r="L24" s="145"/>
      <c r="M24" s="146"/>
      <c r="N24" s="146"/>
    </row>
    <row r="25" spans="1:14" s="88" customFormat="1" ht="18" customHeight="1">
      <c r="A25" s="196"/>
      <c r="B25" s="307"/>
      <c r="C25" s="209"/>
      <c r="D25" s="456"/>
      <c r="E25" s="120"/>
      <c r="F25" s="12"/>
      <c r="G25" s="12"/>
      <c r="H25" s="107"/>
      <c r="I25" s="108">
        <f>IF(E25&gt;0,#REF!,0)+IF(C25&gt;0,50000,0)+IF(C25&lt;0,50000,0)</f>
        <v>0</v>
      </c>
      <c r="J25" s="12" t="s">
        <v>107</v>
      </c>
      <c r="K25" s="12" t="s">
        <v>85</v>
      </c>
      <c r="L25" s="12"/>
      <c r="M25" s="107" t="s">
        <v>105</v>
      </c>
      <c r="N25" s="107"/>
    </row>
    <row r="26" spans="1:14" s="88" customFormat="1" ht="18" customHeight="1">
      <c r="A26" s="196"/>
      <c r="B26" s="307"/>
      <c r="C26" s="417"/>
      <c r="D26" s="457"/>
      <c r="E26" s="106"/>
      <c r="F26" s="104"/>
      <c r="G26" s="104"/>
      <c r="H26" s="107"/>
      <c r="I26" s="108">
        <f>IF(E26&gt;0,#REF!,0)+IF(C26&gt;0,50000,0)+IF(C26&lt;0,50000,0)</f>
        <v>0</v>
      </c>
      <c r="J26" s="12">
        <v>1</v>
      </c>
      <c r="K26" s="12" t="s">
        <v>108</v>
      </c>
      <c r="L26" s="12">
        <v>10</v>
      </c>
      <c r="M26" s="107" t="s">
        <v>108</v>
      </c>
      <c r="N26" s="107">
        <f>(N4+N5+N6+N7)/4</f>
        <v>900000</v>
      </c>
    </row>
    <row r="27" spans="1:14" s="88" customFormat="1" ht="18" customHeight="1">
      <c r="A27" s="196"/>
      <c r="B27" s="307"/>
      <c r="C27" s="418"/>
      <c r="D27" s="456"/>
      <c r="E27" s="106"/>
      <c r="F27" s="104"/>
      <c r="G27" s="104"/>
      <c r="H27" s="107">
        <f>I27</f>
        <v>0</v>
      </c>
      <c r="I27" s="108">
        <f>IF(E27&gt;0,#REF!,0)+IF(C27&gt;0,50000,0)+IF(C27&lt;0,50000,0)</f>
        <v>0</v>
      </c>
      <c r="J27" s="12">
        <v>2</v>
      </c>
      <c r="K27" s="12" t="s">
        <v>108</v>
      </c>
      <c r="L27" s="12">
        <v>5</v>
      </c>
      <c r="M27" s="107" t="s">
        <v>108</v>
      </c>
      <c r="N27" s="107">
        <f>AVERAGE(N8:N11)</f>
        <v>350000</v>
      </c>
    </row>
    <row r="28" spans="1:9" ht="24" customHeight="1">
      <c r="A28" s="1"/>
      <c r="B28" s="3"/>
      <c r="C28" s="138"/>
      <c r="D28" s="139">
        <f>SUM(D4:D27)</f>
        <v>0</v>
      </c>
      <c r="E28" s="138"/>
      <c r="F28" s="3"/>
      <c r="G28" s="140">
        <f>SUM(G4:G27)</f>
        <v>50</v>
      </c>
      <c r="H28" s="140">
        <f>SUM(H4:H27)</f>
        <v>5050000</v>
      </c>
      <c r="I28" s="141"/>
    </row>
  </sheetData>
  <sheetProtection selectLockedCells="1" selectUnlockedCells="1"/>
  <mergeCells count="7">
    <mergeCell ref="F20:F23"/>
    <mergeCell ref="B1:N1"/>
    <mergeCell ref="B2:N2"/>
    <mergeCell ref="F4:F7"/>
    <mergeCell ref="F8:F11"/>
    <mergeCell ref="F12:F15"/>
    <mergeCell ref="F16:F19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2.75" customHeight="1">
      <c r="B1" s="480" t="s">
        <v>306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304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30</v>
      </c>
      <c r="B4" s="307">
        <v>11.9</v>
      </c>
      <c r="C4" s="104">
        <v>41</v>
      </c>
      <c r="D4" s="105">
        <v>30</v>
      </c>
      <c r="E4" s="120"/>
      <c r="F4" s="104">
        <v>1</v>
      </c>
      <c r="G4" s="104">
        <v>10</v>
      </c>
      <c r="H4" s="107">
        <f aca="true" t="shared" si="0" ref="H4:H11">N4+I4</f>
        <v>1300000</v>
      </c>
      <c r="I4" s="108">
        <f>2*IF(E4&gt;0,$N$13,0)+IF(C4&gt;0,50000,0)+IF(C12&lt;0,50000,0)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1250000</v>
      </c>
    </row>
    <row r="5" spans="1:14" s="113" customFormat="1" ht="18" customHeight="1">
      <c r="A5" s="196" t="s">
        <v>48</v>
      </c>
      <c r="B5" s="307">
        <v>7.4</v>
      </c>
      <c r="C5" s="104">
        <v>40</v>
      </c>
      <c r="D5" s="105">
        <v>28</v>
      </c>
      <c r="E5" s="106"/>
      <c r="F5" s="104">
        <v>2</v>
      </c>
      <c r="G5" s="104">
        <v>8</v>
      </c>
      <c r="H5" s="107">
        <f t="shared" si="0"/>
        <v>1050000</v>
      </c>
      <c r="I5" s="108">
        <f>IF(E5&gt;0,$N$13,0)+IF(C5&gt;0,50000,0)+IF(C13&lt;0,50000,0)</f>
        <v>50000</v>
      </c>
      <c r="J5" s="114" t="s">
        <v>89</v>
      </c>
      <c r="K5" s="115"/>
      <c r="L5" s="116"/>
      <c r="M5" s="117">
        <v>8</v>
      </c>
      <c r="N5" s="107">
        <f>N12*20%</f>
        <v>1000000</v>
      </c>
    </row>
    <row r="6" spans="1:14" s="113" customFormat="1" ht="18" customHeight="1">
      <c r="A6" s="196" t="s">
        <v>28</v>
      </c>
      <c r="B6" s="307">
        <v>12.2</v>
      </c>
      <c r="C6" s="105">
        <v>35</v>
      </c>
      <c r="D6" s="105">
        <v>29</v>
      </c>
      <c r="E6" s="120"/>
      <c r="F6" s="12">
        <v>3</v>
      </c>
      <c r="G6" s="12">
        <v>6</v>
      </c>
      <c r="H6" s="107">
        <f t="shared" si="0"/>
        <v>800000</v>
      </c>
      <c r="I6" s="108">
        <f aca="true" t="shared" si="1" ref="I6:I11">IF(E6&gt;0,$N$13,0)+IF(C6&gt;0,50000,0)+IF(C14&lt;0,50000,0)</f>
        <v>50000</v>
      </c>
      <c r="J6" s="114" t="s">
        <v>90</v>
      </c>
      <c r="K6" s="115"/>
      <c r="L6" s="116"/>
      <c r="M6" s="117">
        <v>6</v>
      </c>
      <c r="N6" s="107">
        <f>N12*15%</f>
        <v>750000</v>
      </c>
    </row>
    <row r="7" spans="1:18" s="113" customFormat="1" ht="18" customHeight="1">
      <c r="A7" s="196" t="s">
        <v>22</v>
      </c>
      <c r="B7" s="307">
        <v>14.5</v>
      </c>
      <c r="C7" s="104">
        <v>34</v>
      </c>
      <c r="D7" s="105">
        <v>36</v>
      </c>
      <c r="E7" s="120"/>
      <c r="F7" s="104">
        <v>4</v>
      </c>
      <c r="G7" s="104">
        <v>5</v>
      </c>
      <c r="H7" s="107">
        <v>750000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600000</v>
      </c>
      <c r="O7" s="118"/>
      <c r="P7" s="118"/>
      <c r="Q7" s="118"/>
      <c r="R7" s="119"/>
    </row>
    <row r="8" spans="1:14" s="113" customFormat="1" ht="18" customHeight="1">
      <c r="A8" s="196" t="s">
        <v>10</v>
      </c>
      <c r="B8" s="307">
        <v>15.8</v>
      </c>
      <c r="C8" s="105">
        <v>34</v>
      </c>
      <c r="D8" s="124">
        <v>32</v>
      </c>
      <c r="E8" s="106">
        <v>1.58</v>
      </c>
      <c r="F8" s="104">
        <v>5</v>
      </c>
      <c r="G8" s="104">
        <v>4</v>
      </c>
      <c r="H8" s="107">
        <f t="shared" si="0"/>
        <v>850000</v>
      </c>
      <c r="I8" s="108">
        <f t="shared" si="1"/>
        <v>350000</v>
      </c>
      <c r="J8" s="114" t="s">
        <v>92</v>
      </c>
      <c r="K8" s="115"/>
      <c r="L8" s="116"/>
      <c r="M8" s="117">
        <v>4</v>
      </c>
      <c r="N8" s="107">
        <f>N12*10%</f>
        <v>500000</v>
      </c>
    </row>
    <row r="9" spans="1:14" s="113" customFormat="1" ht="18" customHeight="1">
      <c r="A9" s="196" t="s">
        <v>42</v>
      </c>
      <c r="B9" s="307">
        <v>18.2</v>
      </c>
      <c r="C9" s="104">
        <v>34</v>
      </c>
      <c r="D9" s="105">
        <v>39</v>
      </c>
      <c r="E9" s="120"/>
      <c r="F9" s="121">
        <v>6</v>
      </c>
      <c r="G9" s="121">
        <v>3</v>
      </c>
      <c r="H9" s="107">
        <f t="shared" si="0"/>
        <v>450000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400000</v>
      </c>
    </row>
    <row r="10" spans="1:14" s="113" customFormat="1" ht="18" customHeight="1">
      <c r="A10" s="196" t="s">
        <v>52</v>
      </c>
      <c r="B10" s="307">
        <v>13.4</v>
      </c>
      <c r="C10" s="12">
        <v>33</v>
      </c>
      <c r="D10" s="105">
        <v>35</v>
      </c>
      <c r="E10" s="106"/>
      <c r="F10" s="104">
        <v>7</v>
      </c>
      <c r="G10" s="104">
        <v>2</v>
      </c>
      <c r="H10" s="107">
        <f t="shared" si="0"/>
        <v>350000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300000</v>
      </c>
    </row>
    <row r="11" spans="1:14" s="113" customFormat="1" ht="18" customHeight="1">
      <c r="A11" s="196" t="s">
        <v>12</v>
      </c>
      <c r="B11" s="307">
        <v>19</v>
      </c>
      <c r="C11" s="105">
        <v>32</v>
      </c>
      <c r="D11" s="105">
        <v>35</v>
      </c>
      <c r="E11" s="106"/>
      <c r="F11" s="104">
        <v>8</v>
      </c>
      <c r="G11" s="104">
        <v>1</v>
      </c>
      <c r="H11" s="107">
        <f t="shared" si="0"/>
        <v>250000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200000</v>
      </c>
    </row>
    <row r="12" spans="1:14" s="113" customFormat="1" ht="18" customHeight="1">
      <c r="A12" s="196" t="s">
        <v>38</v>
      </c>
      <c r="B12" s="307">
        <v>14.9</v>
      </c>
      <c r="C12" s="104">
        <v>30</v>
      </c>
      <c r="D12" s="124">
        <v>36</v>
      </c>
      <c r="E12" s="106">
        <v>1.77</v>
      </c>
      <c r="F12" s="104"/>
      <c r="G12" s="104"/>
      <c r="H12" s="107">
        <f aca="true" t="shared" si="2" ref="H12:H27">I12</f>
        <v>350000</v>
      </c>
      <c r="I12" s="108">
        <f aca="true" t="shared" si="3" ref="I12:I27">IF(E12&gt;0,$N$13,0)+IF(C12&gt;0,50000,0)+IF(C12&lt;0,50000,0)</f>
        <v>350000</v>
      </c>
      <c r="J12" s="122" t="s">
        <v>96</v>
      </c>
      <c r="K12" s="115"/>
      <c r="L12" s="116"/>
      <c r="M12" s="117"/>
      <c r="N12" s="123">
        <v>5000000</v>
      </c>
    </row>
    <row r="13" spans="1:14" s="113" customFormat="1" ht="18" customHeight="1">
      <c r="A13" s="196" t="s">
        <v>36</v>
      </c>
      <c r="B13" s="307">
        <v>19.7</v>
      </c>
      <c r="C13" s="104">
        <v>30</v>
      </c>
      <c r="D13" s="105">
        <v>37</v>
      </c>
      <c r="E13" s="106"/>
      <c r="F13" s="104"/>
      <c r="G13" s="104"/>
      <c r="H13" s="107">
        <f t="shared" si="2"/>
        <v>50000</v>
      </c>
      <c r="I13" s="108">
        <f t="shared" si="3"/>
        <v>50000</v>
      </c>
      <c r="J13" s="125" t="s">
        <v>97</v>
      </c>
      <c r="K13" s="126"/>
      <c r="L13" s="127"/>
      <c r="M13" s="128">
        <v>1</v>
      </c>
      <c r="N13" s="129">
        <f>N10</f>
        <v>300000</v>
      </c>
    </row>
    <row r="14" spans="1:14" s="113" customFormat="1" ht="18" customHeight="1">
      <c r="A14" s="196" t="s">
        <v>44</v>
      </c>
      <c r="B14" s="307">
        <v>13.9</v>
      </c>
      <c r="C14" s="104">
        <v>29</v>
      </c>
      <c r="D14" s="105">
        <v>38</v>
      </c>
      <c r="E14" s="106">
        <v>4.13</v>
      </c>
      <c r="F14" s="104"/>
      <c r="G14" s="104"/>
      <c r="H14" s="107">
        <f t="shared" si="2"/>
        <v>350000</v>
      </c>
      <c r="I14" s="108">
        <f t="shared" si="3"/>
        <v>350000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34</v>
      </c>
      <c r="B15" s="307">
        <v>15</v>
      </c>
      <c r="C15" s="104">
        <v>29</v>
      </c>
      <c r="D15" s="105">
        <v>34</v>
      </c>
      <c r="E15" s="120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16</v>
      </c>
      <c r="B16" s="307">
        <v>19.2</v>
      </c>
      <c r="C16" s="104">
        <v>28</v>
      </c>
      <c r="D16" s="124">
        <v>37</v>
      </c>
      <c r="E16" s="120">
        <v>1.62</v>
      </c>
      <c r="F16" s="12"/>
      <c r="G16" s="12"/>
      <c r="H16" s="107">
        <f t="shared" si="2"/>
        <v>350000</v>
      </c>
      <c r="I16" s="108">
        <f t="shared" si="3"/>
        <v>350000</v>
      </c>
    </row>
    <row r="17" spans="1:18" s="113" customFormat="1" ht="18" customHeight="1">
      <c r="A17" s="196" t="s">
        <v>18</v>
      </c>
      <c r="B17" s="307">
        <v>14.1</v>
      </c>
      <c r="C17" s="104">
        <v>26</v>
      </c>
      <c r="D17" s="124">
        <v>33</v>
      </c>
      <c r="E17" s="106"/>
      <c r="F17" s="12"/>
      <c r="G17" s="12"/>
      <c r="H17" s="107">
        <f t="shared" si="2"/>
        <v>50000</v>
      </c>
      <c r="I17" s="108">
        <f t="shared" si="3"/>
        <v>50000</v>
      </c>
      <c r="O17" s="118"/>
      <c r="P17" s="118"/>
      <c r="Q17" s="118"/>
      <c r="R17" s="119"/>
    </row>
    <row r="18" spans="1:13" s="113" customFormat="1" ht="18" customHeight="1">
      <c r="A18" s="196" t="s">
        <v>32</v>
      </c>
      <c r="B18" s="307">
        <v>14</v>
      </c>
      <c r="C18" s="104">
        <v>24</v>
      </c>
      <c r="D18" s="124">
        <v>38</v>
      </c>
      <c r="E18" s="106" t="s">
        <v>307</v>
      </c>
      <c r="F18" s="104"/>
      <c r="G18" s="104"/>
      <c r="H18" s="107">
        <v>650000</v>
      </c>
      <c r="I18" s="108">
        <f t="shared" si="3"/>
        <v>350000</v>
      </c>
      <c r="J18" s="119"/>
      <c r="K18" s="119"/>
      <c r="L18" s="119"/>
      <c r="M18" s="119"/>
    </row>
    <row r="19" spans="1:13" s="113" customFormat="1" ht="18" customHeight="1">
      <c r="A19" s="196" t="s">
        <v>26</v>
      </c>
      <c r="B19" s="307">
        <v>22.3</v>
      </c>
      <c r="C19" s="105">
        <v>23</v>
      </c>
      <c r="D19" s="124">
        <v>40</v>
      </c>
      <c r="E19" s="106"/>
      <c r="F19" s="104"/>
      <c r="G19" s="104"/>
      <c r="H19" s="107">
        <f t="shared" si="2"/>
        <v>50000</v>
      </c>
      <c r="I19" s="108">
        <f t="shared" si="3"/>
        <v>50000</v>
      </c>
      <c r="J19" s="119"/>
      <c r="K19" s="119"/>
      <c r="L19" s="119"/>
      <c r="M19" s="119"/>
    </row>
    <row r="20" spans="1:9" s="88" customFormat="1" ht="18" customHeight="1">
      <c r="A20" s="196" t="s">
        <v>40</v>
      </c>
      <c r="B20" s="307">
        <v>22.4</v>
      </c>
      <c r="C20" s="104">
        <v>17</v>
      </c>
      <c r="D20" s="105">
        <v>44</v>
      </c>
      <c r="E20" s="106"/>
      <c r="F20" s="12"/>
      <c r="G20" s="12"/>
      <c r="H20" s="107">
        <f t="shared" si="2"/>
        <v>50000</v>
      </c>
      <c r="I20" s="108">
        <f t="shared" si="3"/>
        <v>50000</v>
      </c>
    </row>
    <row r="21" spans="1:9" s="88" customFormat="1" ht="18" customHeight="1">
      <c r="A21" s="196" t="s">
        <v>20</v>
      </c>
      <c r="B21" s="307">
        <v>15.4</v>
      </c>
      <c r="C21" s="104">
        <v>16</v>
      </c>
      <c r="D21" s="105">
        <v>43</v>
      </c>
      <c r="E21" s="106"/>
      <c r="F21" s="12"/>
      <c r="G21" s="12"/>
      <c r="H21" s="107">
        <f t="shared" si="2"/>
        <v>50000</v>
      </c>
      <c r="I21" s="108">
        <f t="shared" si="3"/>
        <v>50000</v>
      </c>
    </row>
    <row r="22" spans="1:9" s="88" customFormat="1" ht="18" customHeight="1">
      <c r="A22" s="196"/>
      <c r="B22" s="307"/>
      <c r="C22" s="105"/>
      <c r="D22" s="105"/>
      <c r="E22" s="106"/>
      <c r="F22" s="12"/>
      <c r="G22" s="12"/>
      <c r="H22" s="107">
        <f t="shared" si="2"/>
        <v>0</v>
      </c>
      <c r="I22" s="108">
        <f t="shared" si="3"/>
        <v>0</v>
      </c>
    </row>
    <row r="23" spans="1:9" s="88" customFormat="1" ht="18" customHeight="1">
      <c r="A23" s="196"/>
      <c r="B23" s="307"/>
      <c r="C23" s="104"/>
      <c r="D23" s="105"/>
      <c r="E23" s="106"/>
      <c r="F23" s="12"/>
      <c r="G23" s="12"/>
      <c r="H23" s="107">
        <f t="shared" si="2"/>
        <v>0</v>
      </c>
      <c r="I23" s="108">
        <f t="shared" si="3"/>
        <v>0</v>
      </c>
    </row>
    <row r="24" spans="1:9" s="88" customFormat="1" ht="18" customHeight="1">
      <c r="A24" s="196"/>
      <c r="B24" s="307"/>
      <c r="C24" s="104"/>
      <c r="D24" s="124"/>
      <c r="E24" s="106"/>
      <c r="F24" s="12"/>
      <c r="G24" s="12"/>
      <c r="H24" s="107">
        <f t="shared" si="2"/>
        <v>0</v>
      </c>
      <c r="I24" s="108">
        <f t="shared" si="3"/>
        <v>0</v>
      </c>
    </row>
    <row r="25" spans="1:9" s="88" customFormat="1" ht="18" customHeight="1">
      <c r="A25" s="196"/>
      <c r="B25" s="307"/>
      <c r="C25" s="104"/>
      <c r="D25" s="124"/>
      <c r="E25" s="120"/>
      <c r="F25" s="12"/>
      <c r="G25" s="12"/>
      <c r="H25" s="107">
        <f t="shared" si="2"/>
        <v>0</v>
      </c>
      <c r="I25" s="108">
        <f t="shared" si="3"/>
        <v>0</v>
      </c>
    </row>
    <row r="26" spans="1:9" s="88" customFormat="1" ht="18" customHeight="1">
      <c r="A26" s="196"/>
      <c r="B26" s="307"/>
      <c r="C26" s="105"/>
      <c r="D26" s="105"/>
      <c r="E26" s="120"/>
      <c r="F26" s="104"/>
      <c r="G26" s="104"/>
      <c r="H26" s="107">
        <f t="shared" si="2"/>
        <v>0</v>
      </c>
      <c r="I26" s="108">
        <f t="shared" si="3"/>
        <v>0</v>
      </c>
    </row>
    <row r="27" spans="1:9" s="88" customFormat="1" ht="18" customHeight="1">
      <c r="A27" s="196"/>
      <c r="B27" s="307"/>
      <c r="C27" s="124"/>
      <c r="D27" s="105"/>
      <c r="E27" s="106"/>
      <c r="F27" s="104"/>
      <c r="G27" s="104"/>
      <c r="H27" s="107">
        <f t="shared" si="2"/>
        <v>0</v>
      </c>
      <c r="I27" s="108">
        <f t="shared" si="3"/>
        <v>0</v>
      </c>
    </row>
    <row r="28" spans="1:9" ht="24" customHeight="1">
      <c r="A28" s="1"/>
      <c r="B28" s="3"/>
      <c r="C28" s="138"/>
      <c r="D28" s="139">
        <f>SUM(D4:D27)</f>
        <v>644</v>
      </c>
      <c r="E28" s="138"/>
      <c r="F28" s="3"/>
      <c r="G28" s="140">
        <f>SUM(G4:G27)</f>
        <v>39</v>
      </c>
      <c r="H28" s="140">
        <f>SUM(H4:H27)</f>
        <v>7800000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9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110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301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30</v>
      </c>
      <c r="B4" s="307">
        <v>12.8</v>
      </c>
      <c r="C4" s="104">
        <v>39</v>
      </c>
      <c r="D4" s="124">
        <v>30</v>
      </c>
      <c r="E4" s="106">
        <v>7.99</v>
      </c>
      <c r="F4" s="104">
        <v>1</v>
      </c>
      <c r="G4" s="104">
        <v>10</v>
      </c>
      <c r="H4" s="107">
        <f aca="true" t="shared" si="0" ref="H4:H11">N4+I4</f>
        <v>1910000</v>
      </c>
      <c r="I4" s="108">
        <f aca="true" t="shared" si="1" ref="I4:I11">IF(E4&gt;0,$N$13,0)+IF(C4&gt;0,50000,0)+IF(C12&lt;0,50000,0)</f>
        <v>410000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38</v>
      </c>
      <c r="B5" s="307">
        <v>14.9</v>
      </c>
      <c r="C5" s="104">
        <v>35</v>
      </c>
      <c r="D5" s="105">
        <v>30</v>
      </c>
      <c r="E5" s="106"/>
      <c r="F5" s="104">
        <v>2</v>
      </c>
      <c r="G5" s="104">
        <v>8</v>
      </c>
      <c r="H5" s="107">
        <f t="shared" si="0"/>
        <v>1250000</v>
      </c>
      <c r="I5" s="108">
        <f t="shared" si="1"/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28</v>
      </c>
      <c r="B6" s="307">
        <v>12.1</v>
      </c>
      <c r="C6" s="104">
        <v>32</v>
      </c>
      <c r="D6" s="105">
        <v>31</v>
      </c>
      <c r="E6" s="106"/>
      <c r="F6" s="12">
        <v>3</v>
      </c>
      <c r="G6" s="12">
        <v>6</v>
      </c>
      <c r="H6" s="107">
        <f t="shared" si="0"/>
        <v>950000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34</v>
      </c>
      <c r="B7" s="307">
        <v>14.9</v>
      </c>
      <c r="C7" s="105">
        <v>30</v>
      </c>
      <c r="D7" s="105">
        <v>37</v>
      </c>
      <c r="E7" s="120"/>
      <c r="F7" s="104">
        <v>4</v>
      </c>
      <c r="G7" s="104">
        <v>5</v>
      </c>
      <c r="H7" s="107">
        <f t="shared" si="0"/>
        <v>770000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46</v>
      </c>
      <c r="B8" s="307">
        <v>19.3</v>
      </c>
      <c r="C8" s="124">
        <v>29</v>
      </c>
      <c r="D8" s="105">
        <v>35</v>
      </c>
      <c r="E8" s="106"/>
      <c r="F8" s="104">
        <v>5</v>
      </c>
      <c r="G8" s="104">
        <v>4</v>
      </c>
      <c r="H8" s="107">
        <f t="shared" si="0"/>
        <v>650000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48</v>
      </c>
      <c r="B9" s="307">
        <v>7.3</v>
      </c>
      <c r="C9" s="105">
        <v>28</v>
      </c>
      <c r="D9" s="124">
        <v>30</v>
      </c>
      <c r="E9" s="106"/>
      <c r="F9" s="121">
        <v>6</v>
      </c>
      <c r="G9" s="121">
        <v>3</v>
      </c>
      <c r="H9" s="107">
        <f t="shared" si="0"/>
        <v>530000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10</v>
      </c>
      <c r="B10" s="307">
        <v>15.7</v>
      </c>
      <c r="C10" s="104">
        <v>27</v>
      </c>
      <c r="D10" s="124">
        <v>34</v>
      </c>
      <c r="E10" s="106"/>
      <c r="F10" s="104">
        <v>7</v>
      </c>
      <c r="G10" s="104">
        <v>2</v>
      </c>
      <c r="H10" s="107">
        <f t="shared" si="0"/>
        <v>410000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40</v>
      </c>
      <c r="B11" s="307">
        <v>22.3</v>
      </c>
      <c r="C11" s="104">
        <v>27</v>
      </c>
      <c r="D11" s="105">
        <v>34</v>
      </c>
      <c r="E11" s="120"/>
      <c r="F11" s="104">
        <v>8</v>
      </c>
      <c r="G11" s="104">
        <v>1</v>
      </c>
      <c r="H11" s="107">
        <f t="shared" si="0"/>
        <v>290000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18</v>
      </c>
      <c r="B12" s="307">
        <v>14</v>
      </c>
      <c r="C12" s="104">
        <v>26</v>
      </c>
      <c r="D12" s="124">
        <v>34</v>
      </c>
      <c r="E12" s="106"/>
      <c r="F12" s="104"/>
      <c r="G12" s="104"/>
      <c r="H12" s="107">
        <f aca="true" t="shared" si="2" ref="H12:H27">I12</f>
        <v>50000</v>
      </c>
      <c r="I12" s="108">
        <f aca="true" t="shared" si="3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12</v>
      </c>
      <c r="B13" s="307">
        <v>18.9</v>
      </c>
      <c r="C13" s="104">
        <v>25</v>
      </c>
      <c r="D13" s="105">
        <v>38</v>
      </c>
      <c r="E13" s="106"/>
      <c r="F13" s="104"/>
      <c r="G13" s="104"/>
      <c r="H13" s="107">
        <f t="shared" si="2"/>
        <v>50000</v>
      </c>
      <c r="I13" s="108">
        <f t="shared" si="3"/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42</v>
      </c>
      <c r="B14" s="307">
        <v>18.1</v>
      </c>
      <c r="C14" s="104">
        <v>23</v>
      </c>
      <c r="D14" s="105">
        <v>41</v>
      </c>
      <c r="E14" s="106"/>
      <c r="F14" s="104"/>
      <c r="G14" s="104"/>
      <c r="H14" s="107">
        <f t="shared" si="2"/>
        <v>50000</v>
      </c>
      <c r="I14" s="108">
        <f t="shared" si="3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44</v>
      </c>
      <c r="B15" s="307">
        <v>13.8</v>
      </c>
      <c r="C15" s="104">
        <v>22</v>
      </c>
      <c r="D15" s="105">
        <v>36</v>
      </c>
      <c r="E15" s="106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50</v>
      </c>
      <c r="B16" s="307">
        <v>23.2</v>
      </c>
      <c r="C16" s="104">
        <v>22</v>
      </c>
      <c r="D16" s="124">
        <v>39</v>
      </c>
      <c r="E16" s="120"/>
      <c r="F16" s="12"/>
      <c r="G16" s="12"/>
      <c r="H16" s="107">
        <f t="shared" si="2"/>
        <v>50000</v>
      </c>
      <c r="I16" s="108">
        <f t="shared" si="3"/>
        <v>50000</v>
      </c>
    </row>
    <row r="17" spans="1:13" s="113" customFormat="1" ht="18" customHeight="1">
      <c r="A17" s="196" t="s">
        <v>16</v>
      </c>
      <c r="B17" s="307">
        <v>19.1</v>
      </c>
      <c r="C17" s="105">
        <v>19</v>
      </c>
      <c r="D17" s="124">
        <v>44</v>
      </c>
      <c r="E17" s="120"/>
      <c r="F17" s="12"/>
      <c r="G17" s="12"/>
      <c r="H17" s="107">
        <f t="shared" si="2"/>
        <v>50000</v>
      </c>
      <c r="I17" s="108">
        <f t="shared" si="3"/>
        <v>50000</v>
      </c>
      <c r="J17" s="118"/>
      <c r="K17" s="118"/>
      <c r="L17" s="118"/>
      <c r="M17" s="119"/>
    </row>
    <row r="18" spans="1:13" s="113" customFormat="1" ht="18" customHeight="1">
      <c r="A18" s="196" t="s">
        <v>20</v>
      </c>
      <c r="B18" s="307">
        <v>15.3</v>
      </c>
      <c r="C18" s="104">
        <v>18</v>
      </c>
      <c r="D18" s="105">
        <v>41</v>
      </c>
      <c r="E18" s="106"/>
      <c r="F18" s="104"/>
      <c r="G18" s="104"/>
      <c r="H18" s="107">
        <f t="shared" si="2"/>
        <v>50000</v>
      </c>
      <c r="I18" s="108">
        <f t="shared" si="3"/>
        <v>50000</v>
      </c>
      <c r="J18" s="119"/>
      <c r="K18" s="119"/>
      <c r="L18" s="119"/>
      <c r="M18" s="119"/>
    </row>
    <row r="19" spans="1:13" s="113" customFormat="1" ht="18" customHeight="1">
      <c r="A19" s="196" t="s">
        <v>26</v>
      </c>
      <c r="B19" s="307">
        <v>22.2</v>
      </c>
      <c r="C19" s="105">
        <v>16</v>
      </c>
      <c r="D19" s="105">
        <v>41</v>
      </c>
      <c r="E19" s="106"/>
      <c r="F19" s="104"/>
      <c r="G19" s="104"/>
      <c r="H19" s="107">
        <f t="shared" si="2"/>
        <v>50000</v>
      </c>
      <c r="I19" s="108">
        <f t="shared" si="3"/>
        <v>50000</v>
      </c>
      <c r="J19" s="119"/>
      <c r="K19" s="119"/>
      <c r="L19" s="119"/>
      <c r="M19" s="119"/>
    </row>
    <row r="20" spans="1:9" s="88" customFormat="1" ht="18" customHeight="1">
      <c r="A20" s="196"/>
      <c r="B20" s="307"/>
      <c r="C20" s="12"/>
      <c r="D20" s="105"/>
      <c r="E20" s="120"/>
      <c r="F20" s="12"/>
      <c r="G20" s="12"/>
      <c r="H20" s="107">
        <f t="shared" si="2"/>
        <v>0</v>
      </c>
      <c r="I20" s="108">
        <f t="shared" si="3"/>
        <v>0</v>
      </c>
    </row>
    <row r="21" spans="1:9" s="88" customFormat="1" ht="18" customHeight="1">
      <c r="A21" s="196"/>
      <c r="B21" s="307"/>
      <c r="C21" s="105"/>
      <c r="D21" s="105"/>
      <c r="E21" s="106"/>
      <c r="F21" s="12"/>
      <c r="G21" s="12"/>
      <c r="H21" s="107">
        <f t="shared" si="2"/>
        <v>0</v>
      </c>
      <c r="I21" s="108">
        <f t="shared" si="3"/>
        <v>0</v>
      </c>
    </row>
    <row r="22" spans="1:9" s="88" customFormat="1" ht="18" customHeight="1">
      <c r="A22" s="196"/>
      <c r="B22" s="307"/>
      <c r="C22" s="105"/>
      <c r="D22" s="105"/>
      <c r="E22" s="106"/>
      <c r="F22" s="12"/>
      <c r="G22" s="12"/>
      <c r="H22" s="107">
        <f t="shared" si="2"/>
        <v>0</v>
      </c>
      <c r="I22" s="108">
        <f t="shared" si="3"/>
        <v>0</v>
      </c>
    </row>
    <row r="23" spans="1:9" s="88" customFormat="1" ht="18" customHeight="1">
      <c r="A23" s="196"/>
      <c r="B23" s="307"/>
      <c r="C23" s="104"/>
      <c r="D23" s="105"/>
      <c r="E23" s="106"/>
      <c r="F23" s="12"/>
      <c r="G23" s="12"/>
      <c r="H23" s="107">
        <f t="shared" si="2"/>
        <v>0</v>
      </c>
      <c r="I23" s="108">
        <f t="shared" si="3"/>
        <v>0</v>
      </c>
    </row>
    <row r="24" spans="1:9" s="88" customFormat="1" ht="18" customHeight="1">
      <c r="A24" s="196"/>
      <c r="B24" s="307"/>
      <c r="C24" s="104"/>
      <c r="D24" s="105"/>
      <c r="E24" s="106"/>
      <c r="F24" s="12"/>
      <c r="G24" s="12"/>
      <c r="H24" s="107">
        <f t="shared" si="2"/>
        <v>0</v>
      </c>
      <c r="I24" s="108">
        <f t="shared" si="3"/>
        <v>0</v>
      </c>
    </row>
    <row r="25" spans="1:9" s="88" customFormat="1" ht="18" customHeight="1">
      <c r="A25" s="196"/>
      <c r="B25" s="307"/>
      <c r="C25" s="104"/>
      <c r="D25" s="124"/>
      <c r="E25" s="120"/>
      <c r="F25" s="12"/>
      <c r="G25" s="12"/>
      <c r="H25" s="107">
        <f t="shared" si="2"/>
        <v>0</v>
      </c>
      <c r="I25" s="108">
        <f t="shared" si="3"/>
        <v>0</v>
      </c>
    </row>
    <row r="26" spans="1:9" s="88" customFormat="1" ht="18" customHeight="1">
      <c r="A26" s="196"/>
      <c r="B26" s="307"/>
      <c r="C26" s="104"/>
      <c r="D26" s="124"/>
      <c r="E26" s="120"/>
      <c r="F26" s="104"/>
      <c r="G26" s="104"/>
      <c r="H26" s="107">
        <f t="shared" si="2"/>
        <v>0</v>
      </c>
      <c r="I26" s="108">
        <f t="shared" si="3"/>
        <v>0</v>
      </c>
    </row>
    <row r="27" spans="1:9" s="88" customFormat="1" ht="18" customHeight="1">
      <c r="A27" s="196"/>
      <c r="B27" s="307"/>
      <c r="C27" s="104"/>
      <c r="D27" s="105"/>
      <c r="E27" s="120"/>
      <c r="F27" s="104"/>
      <c r="G27" s="104"/>
      <c r="H27" s="107">
        <f t="shared" si="2"/>
        <v>0</v>
      </c>
      <c r="I27" s="108">
        <f t="shared" si="3"/>
        <v>0</v>
      </c>
    </row>
    <row r="28" spans="1:9" ht="24" customHeight="1">
      <c r="A28" s="1"/>
      <c r="B28" s="3"/>
      <c r="C28" s="138"/>
      <c r="D28" s="139">
        <f>SUM(D4:D27)</f>
        <v>575</v>
      </c>
      <c r="E28" s="138"/>
      <c r="F28" s="3"/>
      <c r="G28" s="140">
        <f>SUM(G4:G27)</f>
        <v>39</v>
      </c>
      <c r="H28" s="140">
        <f>SUM(H4:H27)</f>
        <v>7160000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191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298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36</v>
      </c>
      <c r="B4" s="307">
        <v>20.9</v>
      </c>
      <c r="C4" s="12">
        <v>39</v>
      </c>
      <c r="D4" s="105">
        <v>36</v>
      </c>
      <c r="E4" s="120"/>
      <c r="F4" s="104">
        <v>1</v>
      </c>
      <c r="G4" s="104">
        <v>10</v>
      </c>
      <c r="H4" s="107">
        <f aca="true" t="shared" si="0" ref="H4:H11">N4+I4</f>
        <v>1550000</v>
      </c>
      <c r="I4" s="108">
        <f aca="true" t="shared" si="1" ref="I4:I11"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52</v>
      </c>
      <c r="B5" s="307">
        <v>14</v>
      </c>
      <c r="C5" s="104">
        <v>38</v>
      </c>
      <c r="D5" s="105">
        <v>33</v>
      </c>
      <c r="E5" s="106"/>
      <c r="F5" s="104">
        <v>2</v>
      </c>
      <c r="G5" s="104">
        <v>8</v>
      </c>
      <c r="H5" s="107">
        <f t="shared" si="0"/>
        <v>1250000</v>
      </c>
      <c r="I5" s="108">
        <f t="shared" si="1"/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20</v>
      </c>
      <c r="B6" s="307">
        <v>15.3</v>
      </c>
      <c r="C6" s="12">
        <v>35</v>
      </c>
      <c r="D6" s="124">
        <v>31</v>
      </c>
      <c r="E6" s="120"/>
      <c r="F6" s="12">
        <v>3</v>
      </c>
      <c r="G6" s="12">
        <v>6</v>
      </c>
      <c r="H6" s="107">
        <f t="shared" si="0"/>
        <v>950000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30</v>
      </c>
      <c r="B7" s="307">
        <v>12.7</v>
      </c>
      <c r="C7" s="105">
        <v>34</v>
      </c>
      <c r="D7" s="105">
        <v>31</v>
      </c>
      <c r="E7" s="120"/>
      <c r="F7" s="104">
        <v>4</v>
      </c>
      <c r="G7" s="104">
        <v>5</v>
      </c>
      <c r="H7" s="107">
        <f t="shared" si="0"/>
        <v>770000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44</v>
      </c>
      <c r="B8" s="307">
        <v>13.8</v>
      </c>
      <c r="C8" s="104">
        <v>34</v>
      </c>
      <c r="D8" s="105">
        <v>35</v>
      </c>
      <c r="E8" s="106"/>
      <c r="F8" s="104">
        <v>5</v>
      </c>
      <c r="G8" s="104">
        <v>4</v>
      </c>
      <c r="H8" s="107">
        <f t="shared" si="0"/>
        <v>650000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26</v>
      </c>
      <c r="B9" s="307">
        <v>22.2</v>
      </c>
      <c r="C9" s="104">
        <v>34</v>
      </c>
      <c r="D9" s="105">
        <v>36</v>
      </c>
      <c r="E9" s="106"/>
      <c r="F9" s="121">
        <v>6</v>
      </c>
      <c r="G9" s="121">
        <v>3</v>
      </c>
      <c r="H9" s="107">
        <f t="shared" si="0"/>
        <v>530000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42</v>
      </c>
      <c r="B10" s="307">
        <v>18.1</v>
      </c>
      <c r="C10" s="104">
        <v>33</v>
      </c>
      <c r="D10" s="105">
        <v>38</v>
      </c>
      <c r="E10" s="120"/>
      <c r="F10" s="104">
        <v>7</v>
      </c>
      <c r="G10" s="104">
        <v>2</v>
      </c>
      <c r="H10" s="107">
        <f t="shared" si="0"/>
        <v>410000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28</v>
      </c>
      <c r="B11" s="307">
        <v>11.9</v>
      </c>
      <c r="C11" s="104">
        <v>32</v>
      </c>
      <c r="D11" s="124">
        <v>36</v>
      </c>
      <c r="E11" s="120"/>
      <c r="F11" s="104">
        <v>8</v>
      </c>
      <c r="G11" s="104">
        <v>1</v>
      </c>
      <c r="H11" s="107">
        <f t="shared" si="0"/>
        <v>290000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10</v>
      </c>
      <c r="B12" s="307">
        <v>15.6</v>
      </c>
      <c r="C12" s="104">
        <v>32</v>
      </c>
      <c r="D12" s="105">
        <v>35</v>
      </c>
      <c r="E12" s="106">
        <v>6.86</v>
      </c>
      <c r="F12" s="104"/>
      <c r="G12" s="104"/>
      <c r="H12" s="107">
        <f aca="true" t="shared" si="2" ref="H12:H27">I12</f>
        <v>410000</v>
      </c>
      <c r="I12" s="108">
        <f aca="true" t="shared" si="3" ref="I12:I27">IF(E12&gt;0,$N$13,0)+IF(C12&gt;0,50000,0)+IF(C12&lt;0,50000,0)</f>
        <v>410000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24</v>
      </c>
      <c r="B13" s="307">
        <v>15.2</v>
      </c>
      <c r="C13" s="105">
        <v>31</v>
      </c>
      <c r="D13" s="124">
        <v>32</v>
      </c>
      <c r="E13" s="106"/>
      <c r="F13" s="104"/>
      <c r="G13" s="104"/>
      <c r="H13" s="107">
        <f t="shared" si="2"/>
        <v>50000</v>
      </c>
      <c r="I13" s="108">
        <f t="shared" si="3"/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34</v>
      </c>
      <c r="B14" s="307">
        <v>14.8</v>
      </c>
      <c r="C14" s="105">
        <v>29</v>
      </c>
      <c r="D14" s="124">
        <v>36</v>
      </c>
      <c r="E14" s="106"/>
      <c r="F14" s="104"/>
      <c r="G14" s="104"/>
      <c r="H14" s="107">
        <f t="shared" si="2"/>
        <v>50000</v>
      </c>
      <c r="I14" s="108">
        <f t="shared" si="3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22</v>
      </c>
      <c r="B15" s="307">
        <v>15.6</v>
      </c>
      <c r="C15" s="104">
        <v>29</v>
      </c>
      <c r="D15" s="124">
        <v>34</v>
      </c>
      <c r="E15" s="106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12</v>
      </c>
      <c r="B16" s="307">
        <v>18.8</v>
      </c>
      <c r="C16" s="104">
        <v>29</v>
      </c>
      <c r="D16" s="105">
        <v>36</v>
      </c>
      <c r="E16" s="106"/>
      <c r="F16" s="12"/>
      <c r="G16" s="12"/>
      <c r="H16" s="107">
        <f t="shared" si="2"/>
        <v>50000</v>
      </c>
      <c r="I16" s="108">
        <f t="shared" si="3"/>
        <v>50000</v>
      </c>
    </row>
    <row r="17" spans="1:18" s="113" customFormat="1" ht="18" customHeight="1">
      <c r="A17" s="196" t="s">
        <v>8</v>
      </c>
      <c r="B17" s="307">
        <v>23.6</v>
      </c>
      <c r="C17" s="104">
        <v>29</v>
      </c>
      <c r="D17" s="105">
        <v>34</v>
      </c>
      <c r="E17" s="106"/>
      <c r="F17" s="12"/>
      <c r="G17" s="12"/>
      <c r="H17" s="107">
        <f t="shared" si="2"/>
        <v>50000</v>
      </c>
      <c r="I17" s="108">
        <f t="shared" si="3"/>
        <v>50000</v>
      </c>
      <c r="O17" s="118"/>
      <c r="P17" s="118"/>
      <c r="Q17" s="118"/>
      <c r="R17" s="119"/>
    </row>
    <row r="18" spans="1:14" s="113" customFormat="1" ht="18" customHeight="1">
      <c r="A18" s="196" t="s">
        <v>48</v>
      </c>
      <c r="B18" s="307">
        <v>7.2</v>
      </c>
      <c r="C18" s="104">
        <v>28</v>
      </c>
      <c r="D18" s="124">
        <v>36</v>
      </c>
      <c r="E18" s="106"/>
      <c r="F18" s="104"/>
      <c r="G18" s="104"/>
      <c r="H18" s="107">
        <f t="shared" si="2"/>
        <v>50000</v>
      </c>
      <c r="I18" s="108">
        <f t="shared" si="3"/>
        <v>50000</v>
      </c>
      <c r="J18" s="135"/>
      <c r="K18" s="135"/>
      <c r="L18" s="135"/>
      <c r="M18" s="135"/>
      <c r="N18" s="135"/>
    </row>
    <row r="19" spans="1:14" s="113" customFormat="1" ht="18" customHeight="1">
      <c r="A19" s="196" t="s">
        <v>18</v>
      </c>
      <c r="B19" s="307">
        <v>14.2</v>
      </c>
      <c r="C19" s="105">
        <v>28</v>
      </c>
      <c r="D19" s="105">
        <v>36</v>
      </c>
      <c r="E19" s="120"/>
      <c r="F19" s="104"/>
      <c r="G19" s="104"/>
      <c r="H19" s="107">
        <f t="shared" si="2"/>
        <v>50000</v>
      </c>
      <c r="I19" s="108">
        <f t="shared" si="3"/>
        <v>50000</v>
      </c>
      <c r="J19" s="135"/>
      <c r="K19" s="135"/>
      <c r="L19" s="135"/>
      <c r="M19" s="136"/>
      <c r="N19" s="136"/>
    </row>
    <row r="20" spans="1:14" s="88" customFormat="1" ht="18" customHeight="1">
      <c r="A20" s="196" t="s">
        <v>46</v>
      </c>
      <c r="B20" s="307">
        <v>19.2</v>
      </c>
      <c r="C20" s="104">
        <v>27</v>
      </c>
      <c r="D20" s="105">
        <v>37</v>
      </c>
      <c r="E20" s="106"/>
      <c r="F20" s="12"/>
      <c r="G20" s="12"/>
      <c r="H20" s="107">
        <f t="shared" si="2"/>
        <v>50000</v>
      </c>
      <c r="I20" s="108">
        <f t="shared" si="3"/>
        <v>50000</v>
      </c>
      <c r="J20" s="135"/>
      <c r="K20" s="135"/>
      <c r="L20" s="135"/>
      <c r="M20" s="136"/>
      <c r="N20" s="136"/>
    </row>
    <row r="21" spans="1:14" s="88" customFormat="1" ht="18" customHeight="1">
      <c r="A21" s="196" t="s">
        <v>40</v>
      </c>
      <c r="B21" s="307">
        <v>22.2</v>
      </c>
      <c r="C21" s="104">
        <v>26</v>
      </c>
      <c r="D21" s="105">
        <v>36</v>
      </c>
      <c r="E21" s="106"/>
      <c r="F21" s="12"/>
      <c r="G21" s="12"/>
      <c r="H21" s="107">
        <f t="shared" si="2"/>
        <v>50000</v>
      </c>
      <c r="I21" s="108">
        <f t="shared" si="3"/>
        <v>50000</v>
      </c>
      <c r="J21" s="135"/>
      <c r="K21" s="135"/>
      <c r="L21" s="135"/>
      <c r="M21" s="136"/>
      <c r="N21" s="136"/>
    </row>
    <row r="22" spans="1:14" s="88" customFormat="1" ht="18" customHeight="1">
      <c r="A22" s="196" t="s">
        <v>38</v>
      </c>
      <c r="B22" s="307">
        <v>14.7</v>
      </c>
      <c r="C22" s="105">
        <v>24</v>
      </c>
      <c r="D22" s="105">
        <v>38</v>
      </c>
      <c r="E22" s="120"/>
      <c r="F22" s="12"/>
      <c r="G22" s="12"/>
      <c r="H22" s="107">
        <f t="shared" si="2"/>
        <v>50000</v>
      </c>
      <c r="I22" s="108">
        <f t="shared" si="3"/>
        <v>50000</v>
      </c>
      <c r="J22" s="135"/>
      <c r="K22" s="135"/>
      <c r="L22" s="135"/>
      <c r="M22" s="136"/>
      <c r="N22" s="136"/>
    </row>
    <row r="23" spans="1:14" s="88" customFormat="1" ht="18" customHeight="1">
      <c r="A23" s="196" t="s">
        <v>16</v>
      </c>
      <c r="B23" s="307">
        <v>19</v>
      </c>
      <c r="C23" s="124">
        <v>20</v>
      </c>
      <c r="D23" s="105">
        <v>46</v>
      </c>
      <c r="E23" s="106"/>
      <c r="F23" s="12"/>
      <c r="G23" s="12"/>
      <c r="H23" s="107">
        <f t="shared" si="2"/>
        <v>50000</v>
      </c>
      <c r="I23" s="108">
        <f t="shared" si="3"/>
        <v>50000</v>
      </c>
      <c r="J23" s="262"/>
      <c r="K23" s="262"/>
      <c r="L23" s="263"/>
      <c r="M23" s="264"/>
      <c r="N23" s="264"/>
    </row>
    <row r="24" spans="1:14" s="88" customFormat="1" ht="18" customHeight="1">
      <c r="A24" s="196"/>
      <c r="B24" s="307"/>
      <c r="C24" s="104"/>
      <c r="D24" s="105"/>
      <c r="E24" s="106"/>
      <c r="F24" s="12"/>
      <c r="G24" s="12"/>
      <c r="H24" s="107">
        <f t="shared" si="2"/>
        <v>0</v>
      </c>
      <c r="I24" s="108">
        <f t="shared" si="3"/>
        <v>0</v>
      </c>
      <c r="J24" s="262"/>
      <c r="K24" s="262"/>
      <c r="L24" s="263"/>
      <c r="M24" s="264"/>
      <c r="N24" s="264"/>
    </row>
    <row r="25" spans="1:14" s="88" customFormat="1" ht="18" customHeight="1">
      <c r="A25" s="196"/>
      <c r="B25" s="307"/>
      <c r="C25" s="104"/>
      <c r="D25" s="124"/>
      <c r="E25" s="106"/>
      <c r="F25" s="12"/>
      <c r="G25" s="12"/>
      <c r="H25" s="107">
        <f t="shared" si="2"/>
        <v>0</v>
      </c>
      <c r="I25" s="108">
        <f t="shared" si="3"/>
        <v>0</v>
      </c>
      <c r="J25" s="135"/>
      <c r="K25" s="135"/>
      <c r="L25" s="135"/>
      <c r="M25" s="136"/>
      <c r="N25" s="136"/>
    </row>
    <row r="26" spans="1:14" s="88" customFormat="1" ht="18" customHeight="1">
      <c r="A26" s="196"/>
      <c r="B26" s="307"/>
      <c r="C26" s="104"/>
      <c r="D26" s="124"/>
      <c r="E26" s="106"/>
      <c r="F26" s="104"/>
      <c r="G26" s="104"/>
      <c r="H26" s="107">
        <f t="shared" si="2"/>
        <v>0</v>
      </c>
      <c r="I26" s="108">
        <f t="shared" si="3"/>
        <v>0</v>
      </c>
      <c r="J26" s="135"/>
      <c r="K26" s="135"/>
      <c r="L26" s="135"/>
      <c r="M26" s="136"/>
      <c r="N26" s="136"/>
    </row>
    <row r="27" spans="1:14" s="88" customFormat="1" ht="18" customHeight="1">
      <c r="A27" s="196"/>
      <c r="B27" s="307"/>
      <c r="C27" s="105"/>
      <c r="D27" s="105"/>
      <c r="E27" s="120"/>
      <c r="F27" s="104"/>
      <c r="G27" s="104"/>
      <c r="H27" s="107">
        <f t="shared" si="2"/>
        <v>0</v>
      </c>
      <c r="I27" s="108">
        <f t="shared" si="3"/>
        <v>0</v>
      </c>
      <c r="J27" s="135"/>
      <c r="K27" s="135"/>
      <c r="L27" s="135"/>
      <c r="M27" s="136"/>
      <c r="N27" s="136"/>
    </row>
    <row r="28" spans="1:9" ht="24" customHeight="1">
      <c r="A28" s="1"/>
      <c r="B28" s="3"/>
      <c r="C28" s="138"/>
      <c r="D28" s="139">
        <f>SUM(D4:D27)</f>
        <v>712</v>
      </c>
      <c r="E28" s="138"/>
      <c r="F28" s="3"/>
      <c r="G28" s="140">
        <f>SUM(G4:G27)</f>
        <v>39</v>
      </c>
      <c r="H28" s="140">
        <f>SUM(H4:H27)</f>
        <v>7360000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111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295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112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20</v>
      </c>
      <c r="B4" s="307">
        <v>18.4</v>
      </c>
      <c r="C4" s="12">
        <v>66</v>
      </c>
      <c r="D4" s="124">
        <v>34</v>
      </c>
      <c r="E4" s="106">
        <v>17.73</v>
      </c>
      <c r="F4" s="104">
        <v>1</v>
      </c>
      <c r="G4" s="104">
        <v>10</v>
      </c>
      <c r="H4" s="107">
        <f aca="true" t="shared" si="0" ref="H4:H11">N4+I4</f>
        <v>2530000</v>
      </c>
      <c r="I4" s="108">
        <f aca="true" t="shared" si="1" ref="I4:I11">IF(E4&gt;0,$N$13,0)+IF(C4&gt;0,50000,0)+IF(C12&lt;0,50000,0)</f>
        <v>530000</v>
      </c>
      <c r="J4" s="109" t="s">
        <v>88</v>
      </c>
      <c r="K4" s="110"/>
      <c r="L4" s="111"/>
      <c r="M4" s="112">
        <v>10</v>
      </c>
      <c r="N4" s="107">
        <f>N12*25%</f>
        <v>2000000</v>
      </c>
    </row>
    <row r="5" spans="1:14" s="113" customFormat="1" ht="18" customHeight="1">
      <c r="A5" s="196" t="s">
        <v>48</v>
      </c>
      <c r="B5" s="307">
        <v>8.2</v>
      </c>
      <c r="C5" s="104">
        <v>67</v>
      </c>
      <c r="D5" s="124">
        <v>26</v>
      </c>
      <c r="E5" s="120"/>
      <c r="F5" s="104">
        <v>2</v>
      </c>
      <c r="G5" s="104">
        <v>8</v>
      </c>
      <c r="H5" s="107">
        <f t="shared" si="0"/>
        <v>1650000</v>
      </c>
      <c r="I5" s="108">
        <f t="shared" si="1"/>
        <v>50000</v>
      </c>
      <c r="J5" s="114" t="s">
        <v>89</v>
      </c>
      <c r="K5" s="115"/>
      <c r="L5" s="116"/>
      <c r="M5" s="117">
        <v>8</v>
      </c>
      <c r="N5" s="107">
        <f>N12*20%</f>
        <v>1600000</v>
      </c>
    </row>
    <row r="6" spans="1:14" s="113" customFormat="1" ht="18" customHeight="1">
      <c r="A6" s="196" t="s">
        <v>28</v>
      </c>
      <c r="B6" s="307">
        <v>12.2</v>
      </c>
      <c r="C6" s="104">
        <v>68</v>
      </c>
      <c r="D6" s="124">
        <v>31</v>
      </c>
      <c r="E6" s="106"/>
      <c r="F6" s="12">
        <v>3</v>
      </c>
      <c r="G6" s="12">
        <v>6</v>
      </c>
      <c r="H6" s="107">
        <f t="shared" si="0"/>
        <v>1250000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1200000</v>
      </c>
    </row>
    <row r="7" spans="1:18" s="113" customFormat="1" ht="18" customHeight="1">
      <c r="A7" s="196" t="s">
        <v>42</v>
      </c>
      <c r="B7" s="307">
        <v>18.1</v>
      </c>
      <c r="C7" s="104">
        <v>71</v>
      </c>
      <c r="D7" s="105">
        <v>31</v>
      </c>
      <c r="E7" s="120"/>
      <c r="F7" s="104">
        <v>4</v>
      </c>
      <c r="G7" s="104">
        <v>5</v>
      </c>
      <c r="H7" s="107">
        <f t="shared" si="0"/>
        <v>1010000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960000</v>
      </c>
      <c r="O7" s="118"/>
      <c r="P7" s="118"/>
      <c r="Q7" s="118"/>
      <c r="R7" s="119"/>
    </row>
    <row r="8" spans="1:14" s="113" customFormat="1" ht="18" customHeight="1">
      <c r="A8" s="196" t="s">
        <v>333</v>
      </c>
      <c r="B8" s="307">
        <v>11.4</v>
      </c>
      <c r="C8" s="105">
        <v>72</v>
      </c>
      <c r="D8" s="105">
        <v>28</v>
      </c>
      <c r="E8" s="106"/>
      <c r="F8" s="104">
        <v>5</v>
      </c>
      <c r="G8" s="104">
        <v>4</v>
      </c>
      <c r="H8" s="107">
        <f t="shared" si="0"/>
        <v>850000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800000</v>
      </c>
    </row>
    <row r="9" spans="1:14" s="113" customFormat="1" ht="18" customHeight="1">
      <c r="A9" s="196" t="s">
        <v>16</v>
      </c>
      <c r="B9" s="307">
        <v>19</v>
      </c>
      <c r="C9" s="105">
        <v>72</v>
      </c>
      <c r="D9" s="105">
        <v>31</v>
      </c>
      <c r="E9" s="120"/>
      <c r="F9" s="121">
        <v>6</v>
      </c>
      <c r="G9" s="121">
        <v>3</v>
      </c>
      <c r="H9" s="107">
        <f t="shared" si="0"/>
        <v>690000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640000</v>
      </c>
    </row>
    <row r="10" spans="1:14" s="113" customFormat="1" ht="18" customHeight="1">
      <c r="A10" s="196" t="s">
        <v>32</v>
      </c>
      <c r="B10" s="307">
        <v>13.9</v>
      </c>
      <c r="C10" s="104">
        <v>73</v>
      </c>
      <c r="D10" s="105">
        <v>32</v>
      </c>
      <c r="E10" s="106"/>
      <c r="F10" s="104">
        <v>7</v>
      </c>
      <c r="G10" s="104">
        <v>2</v>
      </c>
      <c r="H10" s="107">
        <f t="shared" si="0"/>
        <v>530000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480000</v>
      </c>
    </row>
    <row r="11" spans="1:14" s="113" customFormat="1" ht="18" customHeight="1">
      <c r="A11" s="196" t="s">
        <v>8</v>
      </c>
      <c r="B11" s="307">
        <v>23.6</v>
      </c>
      <c r="C11" s="104">
        <v>73</v>
      </c>
      <c r="D11" s="105">
        <v>33</v>
      </c>
      <c r="E11" s="120"/>
      <c r="F11" s="104">
        <v>8</v>
      </c>
      <c r="G11" s="104">
        <v>1</v>
      </c>
      <c r="H11" s="107">
        <f t="shared" si="0"/>
        <v>370000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320000</v>
      </c>
    </row>
    <row r="12" spans="1:14" s="113" customFormat="1" ht="18" customHeight="1">
      <c r="A12" s="196" t="s">
        <v>34</v>
      </c>
      <c r="B12" s="307">
        <v>14.7</v>
      </c>
      <c r="C12" s="105">
        <v>76</v>
      </c>
      <c r="D12" s="105">
        <v>33</v>
      </c>
      <c r="E12" s="120"/>
      <c r="F12" s="104"/>
      <c r="G12" s="104"/>
      <c r="H12" s="107">
        <f aca="true" t="shared" si="2" ref="H12:H27">I12</f>
        <v>50000</v>
      </c>
      <c r="I12" s="108">
        <f aca="true" t="shared" si="3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8000000</v>
      </c>
    </row>
    <row r="13" spans="1:14" s="113" customFormat="1" ht="18" customHeight="1">
      <c r="A13" s="196" t="s">
        <v>22</v>
      </c>
      <c r="B13" s="307">
        <v>15.5</v>
      </c>
      <c r="C13" s="124">
        <v>76</v>
      </c>
      <c r="D13" s="105">
        <v>33</v>
      </c>
      <c r="E13" s="106"/>
      <c r="F13" s="104"/>
      <c r="G13" s="104"/>
      <c r="H13" s="107">
        <f t="shared" si="2"/>
        <v>50000</v>
      </c>
      <c r="I13" s="108">
        <f t="shared" si="3"/>
        <v>50000</v>
      </c>
      <c r="J13" s="125" t="s">
        <v>97</v>
      </c>
      <c r="K13" s="126"/>
      <c r="L13" s="127"/>
      <c r="M13" s="128">
        <v>1</v>
      </c>
      <c r="N13" s="129">
        <f>N10</f>
        <v>480000</v>
      </c>
    </row>
    <row r="14" spans="1:14" s="113" customFormat="1" ht="18" customHeight="1">
      <c r="A14" s="196" t="s">
        <v>40</v>
      </c>
      <c r="B14" s="307">
        <v>22.1</v>
      </c>
      <c r="C14" s="104">
        <v>76</v>
      </c>
      <c r="D14" s="124">
        <v>30</v>
      </c>
      <c r="E14" s="106"/>
      <c r="F14" s="104"/>
      <c r="G14" s="104"/>
      <c r="H14" s="107">
        <f t="shared" si="2"/>
        <v>50000</v>
      </c>
      <c r="I14" s="108">
        <f t="shared" si="3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12</v>
      </c>
      <c r="B15" s="307">
        <v>18.7</v>
      </c>
      <c r="C15" s="105">
        <v>78</v>
      </c>
      <c r="D15" s="105">
        <v>37</v>
      </c>
      <c r="E15" s="106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30</v>
      </c>
      <c r="B16" s="307">
        <v>12.6</v>
      </c>
      <c r="C16" s="104">
        <v>79</v>
      </c>
      <c r="D16" s="105">
        <v>29</v>
      </c>
      <c r="E16" s="120"/>
      <c r="F16" s="12"/>
      <c r="G16" s="12"/>
      <c r="H16" s="107">
        <f t="shared" si="2"/>
        <v>50000</v>
      </c>
      <c r="I16" s="108">
        <f t="shared" si="3"/>
        <v>50000</v>
      </c>
    </row>
    <row r="17" spans="1:18" s="113" customFormat="1" ht="18" customHeight="1">
      <c r="A17" s="196" t="s">
        <v>46</v>
      </c>
      <c r="B17" s="307">
        <v>19.2</v>
      </c>
      <c r="C17" s="104">
        <v>79</v>
      </c>
      <c r="D17" s="105">
        <v>32</v>
      </c>
      <c r="E17" s="106"/>
      <c r="F17" s="12"/>
      <c r="G17" s="12"/>
      <c r="H17" s="107">
        <f t="shared" si="2"/>
        <v>50000</v>
      </c>
      <c r="I17" s="108">
        <f t="shared" si="3"/>
        <v>50000</v>
      </c>
      <c r="O17" s="118"/>
      <c r="P17" s="118"/>
      <c r="Q17" s="118"/>
      <c r="R17" s="119"/>
    </row>
    <row r="18" spans="1:13" s="113" customFormat="1" ht="18" customHeight="1">
      <c r="A18" s="196" t="s">
        <v>10</v>
      </c>
      <c r="B18" s="307">
        <v>15.5</v>
      </c>
      <c r="C18" s="104">
        <v>81</v>
      </c>
      <c r="D18" s="105">
        <v>31</v>
      </c>
      <c r="E18" s="106"/>
      <c r="F18" s="104"/>
      <c r="G18" s="104"/>
      <c r="H18" s="107">
        <f t="shared" si="2"/>
        <v>50000</v>
      </c>
      <c r="I18" s="108">
        <f t="shared" si="3"/>
        <v>50000</v>
      </c>
      <c r="J18" s="119"/>
      <c r="K18" s="119"/>
      <c r="L18" s="119"/>
      <c r="M18" s="119"/>
    </row>
    <row r="19" spans="1:13" s="113" customFormat="1" ht="18" customHeight="1">
      <c r="A19" s="196" t="s">
        <v>50</v>
      </c>
      <c r="B19" s="307">
        <v>23.1</v>
      </c>
      <c r="C19" s="12">
        <v>83</v>
      </c>
      <c r="D19" s="105">
        <v>32</v>
      </c>
      <c r="E19" s="106"/>
      <c r="F19" s="104"/>
      <c r="G19" s="104"/>
      <c r="H19" s="107">
        <f t="shared" si="2"/>
        <v>50000</v>
      </c>
      <c r="I19" s="108">
        <f t="shared" si="3"/>
        <v>50000</v>
      </c>
      <c r="J19" s="119"/>
      <c r="K19" s="119"/>
      <c r="L19" s="119"/>
      <c r="M19" s="119"/>
    </row>
    <row r="20" spans="1:9" s="88" customFormat="1" ht="18" customHeight="1">
      <c r="A20" s="196" t="s">
        <v>26</v>
      </c>
      <c r="B20" s="307">
        <v>22.1</v>
      </c>
      <c r="C20" s="104">
        <v>85</v>
      </c>
      <c r="D20" s="105">
        <v>38</v>
      </c>
      <c r="E20" s="120"/>
      <c r="F20" s="12"/>
      <c r="G20" s="12"/>
      <c r="H20" s="107">
        <f t="shared" si="2"/>
        <v>50000</v>
      </c>
      <c r="I20" s="108">
        <f t="shared" si="3"/>
        <v>50000</v>
      </c>
    </row>
    <row r="21" spans="1:9" s="88" customFormat="1" ht="18" customHeight="1">
      <c r="A21" s="196"/>
      <c r="B21" s="307"/>
      <c r="C21" s="105"/>
      <c r="D21" s="124"/>
      <c r="E21" s="106"/>
      <c r="F21" s="12"/>
      <c r="G21" s="12"/>
      <c r="H21" s="107">
        <f t="shared" si="2"/>
        <v>0</v>
      </c>
      <c r="I21" s="108">
        <f t="shared" si="3"/>
        <v>0</v>
      </c>
    </row>
    <row r="22" spans="1:9" s="88" customFormat="1" ht="18" customHeight="1">
      <c r="A22" s="196"/>
      <c r="B22" s="307"/>
      <c r="C22" s="104"/>
      <c r="D22" s="124"/>
      <c r="E22" s="106"/>
      <c r="F22" s="12"/>
      <c r="G22" s="12"/>
      <c r="H22" s="107">
        <f t="shared" si="2"/>
        <v>0</v>
      </c>
      <c r="I22" s="108">
        <f t="shared" si="3"/>
        <v>0</v>
      </c>
    </row>
    <row r="23" spans="1:9" s="88" customFormat="1" ht="18" customHeight="1">
      <c r="A23" s="196"/>
      <c r="B23" s="307"/>
      <c r="C23" s="104"/>
      <c r="D23" s="124"/>
      <c r="E23" s="120"/>
      <c r="F23" s="12"/>
      <c r="G23" s="12"/>
      <c r="H23" s="107">
        <f t="shared" si="2"/>
        <v>0</v>
      </c>
      <c r="I23" s="108">
        <f t="shared" si="3"/>
        <v>0</v>
      </c>
    </row>
    <row r="24" spans="1:9" s="88" customFormat="1" ht="18" customHeight="1">
      <c r="A24" s="196"/>
      <c r="B24" s="307"/>
      <c r="C24" s="104"/>
      <c r="D24" s="105"/>
      <c r="E24" s="106"/>
      <c r="F24" s="12"/>
      <c r="G24" s="12"/>
      <c r="H24" s="107">
        <f t="shared" si="2"/>
        <v>0</v>
      </c>
      <c r="I24" s="108">
        <f t="shared" si="3"/>
        <v>0</v>
      </c>
    </row>
    <row r="25" spans="1:9" s="88" customFormat="1" ht="18" customHeight="1">
      <c r="A25" s="196"/>
      <c r="B25" s="307"/>
      <c r="C25" s="105"/>
      <c r="D25" s="124"/>
      <c r="E25" s="106"/>
      <c r="F25" s="12"/>
      <c r="G25" s="12"/>
      <c r="H25" s="107">
        <f t="shared" si="2"/>
        <v>0</v>
      </c>
      <c r="I25" s="108">
        <f t="shared" si="3"/>
        <v>0</v>
      </c>
    </row>
    <row r="26" spans="1:9" s="88" customFormat="1" ht="18" customHeight="1">
      <c r="A26" s="196"/>
      <c r="B26" s="307"/>
      <c r="C26" s="104"/>
      <c r="D26" s="105"/>
      <c r="E26" s="106"/>
      <c r="F26" s="104"/>
      <c r="G26" s="104"/>
      <c r="H26" s="107">
        <f t="shared" si="2"/>
        <v>0</v>
      </c>
      <c r="I26" s="108">
        <f t="shared" si="3"/>
        <v>0</v>
      </c>
    </row>
    <row r="27" spans="1:9" s="88" customFormat="1" ht="18" customHeight="1">
      <c r="A27" s="196"/>
      <c r="B27" s="240"/>
      <c r="C27" s="104"/>
      <c r="D27" s="105"/>
      <c r="E27" s="106"/>
      <c r="F27" s="104"/>
      <c r="G27" s="104"/>
      <c r="H27" s="107">
        <f t="shared" si="2"/>
        <v>0</v>
      </c>
      <c r="I27" s="108">
        <f t="shared" si="3"/>
        <v>0</v>
      </c>
    </row>
    <row r="28" spans="1:9" ht="24" customHeight="1">
      <c r="A28" s="1"/>
      <c r="B28" s="3"/>
      <c r="C28" s="138"/>
      <c r="D28" s="139">
        <f>SUM(D4:D27)</f>
        <v>541</v>
      </c>
      <c r="E28" s="138"/>
      <c r="F28" s="3"/>
      <c r="G28" s="140">
        <f>SUM(G4:G27)</f>
        <v>39</v>
      </c>
      <c r="H28" s="140">
        <f>SUM(H4:H27)</f>
        <v>9330000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24" sqref="B24"/>
    </sheetView>
  </sheetViews>
  <sheetFormatPr defaultColWidth="11.57421875" defaultRowHeight="12.75"/>
  <cols>
    <col min="1" max="1" width="10.8515625" style="3" customWidth="1"/>
    <col min="2" max="2" width="37.140625" style="1" customWidth="1"/>
    <col min="3" max="3" width="11.421875" style="1" customWidth="1"/>
    <col min="4" max="4" width="14.140625" style="1" customWidth="1"/>
    <col min="5" max="5" width="11.421875" style="314" customWidth="1"/>
    <col min="6" max="16384" width="11.421875" style="1" customWidth="1"/>
  </cols>
  <sheetData>
    <row r="1" spans="1:4" ht="13.5">
      <c r="A1" s="305" t="s">
        <v>177</v>
      </c>
      <c r="B1" s="306" t="s">
        <v>6</v>
      </c>
      <c r="C1" s="306" t="s">
        <v>7</v>
      </c>
      <c r="D1" s="302"/>
    </row>
    <row r="2" spans="1:4" ht="13.5">
      <c r="A2" s="209">
        <v>4726</v>
      </c>
      <c r="B2" s="196" t="s">
        <v>8</v>
      </c>
      <c r="C2" s="307">
        <v>23.4</v>
      </c>
      <c r="D2" s="196" t="s">
        <v>9</v>
      </c>
    </row>
    <row r="3" spans="1:4" ht="13.5">
      <c r="A3" s="209">
        <v>4737</v>
      </c>
      <c r="B3" s="196" t="s">
        <v>10</v>
      </c>
      <c r="C3" s="307">
        <v>15.2</v>
      </c>
      <c r="D3" s="196" t="s">
        <v>11</v>
      </c>
    </row>
    <row r="4" spans="1:4" ht="13.5">
      <c r="A4" s="209">
        <v>1354</v>
      </c>
      <c r="B4" s="196" t="s">
        <v>12</v>
      </c>
      <c r="C4" s="307">
        <v>19</v>
      </c>
      <c r="D4" s="196" t="s">
        <v>13</v>
      </c>
    </row>
    <row r="5" spans="1:4" ht="13.5">
      <c r="A5" s="209">
        <v>2619</v>
      </c>
      <c r="B5" s="196" t="s">
        <v>14</v>
      </c>
      <c r="C5" s="307">
        <v>10.7</v>
      </c>
      <c r="D5" s="196" t="s">
        <v>15</v>
      </c>
    </row>
    <row r="6" spans="1:4" ht="13.5">
      <c r="A6" s="241">
        <v>3488</v>
      </c>
      <c r="B6" s="196" t="s">
        <v>16</v>
      </c>
      <c r="C6" s="307">
        <v>19.5</v>
      </c>
      <c r="D6" s="196" t="s">
        <v>17</v>
      </c>
    </row>
    <row r="7" spans="1:4" ht="13.5">
      <c r="A7" s="209">
        <v>3768</v>
      </c>
      <c r="B7" s="196" t="s">
        <v>18</v>
      </c>
      <c r="C7" s="307">
        <v>14.5</v>
      </c>
      <c r="D7" s="196" t="s">
        <v>19</v>
      </c>
    </row>
    <row r="8" spans="1:4" ht="13.5">
      <c r="A8" s="209">
        <v>4638</v>
      </c>
      <c r="B8" s="196" t="s">
        <v>20</v>
      </c>
      <c r="C8" s="307">
        <v>15.4</v>
      </c>
      <c r="D8" s="196" t="s">
        <v>21</v>
      </c>
    </row>
    <row r="9" spans="1:4" ht="13.5">
      <c r="A9" s="209">
        <v>3112</v>
      </c>
      <c r="B9" s="196" t="s">
        <v>22</v>
      </c>
      <c r="C9" s="307">
        <v>14.5</v>
      </c>
      <c r="D9" s="196" t="s">
        <v>23</v>
      </c>
    </row>
    <row r="10" spans="1:4" ht="13.5">
      <c r="A10" s="209">
        <v>3898</v>
      </c>
      <c r="B10" s="196" t="s">
        <v>24</v>
      </c>
      <c r="C10" s="307">
        <v>15.3</v>
      </c>
      <c r="D10" s="196" t="s">
        <v>25</v>
      </c>
    </row>
    <row r="11" spans="1:4" ht="13.5">
      <c r="A11" s="209">
        <v>3157</v>
      </c>
      <c r="B11" s="196" t="s">
        <v>26</v>
      </c>
      <c r="C11" s="307">
        <v>22.4</v>
      </c>
      <c r="D11" s="196" t="s">
        <v>27</v>
      </c>
    </row>
    <row r="12" spans="1:4" ht="13.5">
      <c r="A12" s="209">
        <v>4596</v>
      </c>
      <c r="B12" s="196" t="s">
        <v>28</v>
      </c>
      <c r="C12" s="307">
        <v>12.4</v>
      </c>
      <c r="D12" s="196" t="s">
        <v>29</v>
      </c>
    </row>
    <row r="13" spans="1:4" ht="13.5">
      <c r="A13" s="209">
        <v>4765</v>
      </c>
      <c r="B13" s="196" t="s">
        <v>30</v>
      </c>
      <c r="C13" s="307">
        <v>10.7</v>
      </c>
      <c r="D13" s="196" t="s">
        <v>31</v>
      </c>
    </row>
    <row r="14" spans="1:4" ht="13.5">
      <c r="A14" s="209">
        <v>2646</v>
      </c>
      <c r="B14" s="196" t="s">
        <v>32</v>
      </c>
      <c r="C14" s="307">
        <v>14.2</v>
      </c>
      <c r="D14" s="196" t="s">
        <v>33</v>
      </c>
    </row>
    <row r="15" spans="1:4" ht="13.5">
      <c r="A15" s="209">
        <v>2332</v>
      </c>
      <c r="B15" s="196" t="s">
        <v>34</v>
      </c>
      <c r="C15" s="307">
        <v>14.6</v>
      </c>
      <c r="D15" s="196" t="s">
        <v>35</v>
      </c>
    </row>
    <row r="16" spans="1:4" ht="13.5">
      <c r="A16" s="209">
        <v>4875</v>
      </c>
      <c r="B16" s="196" t="s">
        <v>36</v>
      </c>
      <c r="C16" s="307">
        <v>19.8</v>
      </c>
      <c r="D16" s="196" t="s">
        <v>37</v>
      </c>
    </row>
    <row r="17" spans="1:4" ht="13.5">
      <c r="A17" s="209">
        <v>3181</v>
      </c>
      <c r="B17" s="196" t="s">
        <v>38</v>
      </c>
      <c r="C17" s="307">
        <v>14.7</v>
      </c>
      <c r="D17" s="196" t="s">
        <v>39</v>
      </c>
    </row>
    <row r="18" spans="1:4" ht="13.5">
      <c r="A18" s="209">
        <v>4975</v>
      </c>
      <c r="B18" s="196" t="s">
        <v>40</v>
      </c>
      <c r="C18" s="307">
        <v>22.4</v>
      </c>
      <c r="D18" s="196" t="s">
        <v>41</v>
      </c>
    </row>
    <row r="19" spans="1:4" ht="13.5">
      <c r="A19" s="209">
        <v>4620</v>
      </c>
      <c r="B19" s="196" t="s">
        <v>42</v>
      </c>
      <c r="C19" s="307">
        <v>16.4</v>
      </c>
      <c r="D19" s="196" t="s">
        <v>43</v>
      </c>
    </row>
    <row r="20" spans="1:4" ht="13.5">
      <c r="A20" s="209">
        <v>3912</v>
      </c>
      <c r="B20" s="196" t="s">
        <v>44</v>
      </c>
      <c r="C20" s="307">
        <v>14.1</v>
      </c>
      <c r="D20" s="196" t="s">
        <v>45</v>
      </c>
    </row>
    <row r="21" spans="1:4" ht="13.5">
      <c r="A21" s="209">
        <v>3831</v>
      </c>
      <c r="B21" s="196" t="s">
        <v>46</v>
      </c>
      <c r="C21" s="307">
        <v>19.6</v>
      </c>
      <c r="D21" s="196" t="s">
        <v>47</v>
      </c>
    </row>
    <row r="22" spans="1:4" ht="13.5">
      <c r="A22" s="209">
        <v>2991</v>
      </c>
      <c r="B22" s="196" t="s">
        <v>48</v>
      </c>
      <c r="C22" s="307">
        <v>6.8</v>
      </c>
      <c r="D22" s="196" t="s">
        <v>49</v>
      </c>
    </row>
    <row r="23" spans="1:4" ht="13.5">
      <c r="A23" s="209">
        <v>3747</v>
      </c>
      <c r="B23" s="196" t="s">
        <v>333</v>
      </c>
      <c r="C23" s="307">
        <v>11.5</v>
      </c>
      <c r="D23" s="196" t="s">
        <v>334</v>
      </c>
    </row>
    <row r="24" spans="1:4" ht="13.5">
      <c r="A24" s="241">
        <v>2919</v>
      </c>
      <c r="B24" s="196" t="s">
        <v>50</v>
      </c>
      <c r="C24" s="307">
        <v>23.3</v>
      </c>
      <c r="D24" s="196" t="s">
        <v>51</v>
      </c>
    </row>
    <row r="25" spans="1:4" ht="13.5">
      <c r="A25" s="209">
        <v>4949</v>
      </c>
      <c r="B25" s="196" t="s">
        <v>52</v>
      </c>
      <c r="C25" s="307">
        <v>13.4</v>
      </c>
      <c r="D25" s="196" t="s">
        <v>53</v>
      </c>
    </row>
    <row r="26" spans="1:4" ht="13.5">
      <c r="A26" s="304"/>
      <c r="B26" s="303"/>
      <c r="C26" s="303"/>
      <c r="D26" s="303"/>
    </row>
    <row r="27" spans="1:4" ht="13.5">
      <c r="A27" s="304"/>
      <c r="B27" s="303"/>
      <c r="C27" s="303"/>
      <c r="D27" s="303"/>
    </row>
    <row r="28" spans="1:5" s="242" customFormat="1" ht="13.5">
      <c r="A28" s="304"/>
      <c r="B28" s="303"/>
      <c r="C28" s="303"/>
      <c r="D28" s="303"/>
      <c r="E28" s="315"/>
    </row>
    <row r="29" spans="1:4" ht="13.5">
      <c r="A29" s="304"/>
      <c r="B29" s="303"/>
      <c r="C29" s="303"/>
      <c r="D29" s="303"/>
    </row>
    <row r="30" spans="1:4" ht="13.5">
      <c r="A30" s="304"/>
      <c r="B30" s="303"/>
      <c r="C30" s="303"/>
      <c r="D30" s="303"/>
    </row>
    <row r="31" spans="1:4" ht="13.5">
      <c r="A31" s="304"/>
      <c r="B31" s="303"/>
      <c r="C31" s="303"/>
      <c r="D31" s="30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113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179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85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40</v>
      </c>
      <c r="B4" s="307">
        <v>25.7</v>
      </c>
      <c r="C4" s="105">
        <v>45</v>
      </c>
      <c r="D4" s="105">
        <v>32</v>
      </c>
      <c r="E4" s="106">
        <v>5.63</v>
      </c>
      <c r="F4" s="104">
        <v>1</v>
      </c>
      <c r="G4" s="104">
        <v>10</v>
      </c>
      <c r="H4" s="107">
        <v>1650000</v>
      </c>
      <c r="I4" s="108">
        <f aca="true" t="shared" si="0" ref="I4:I11">IF(E4&gt;0,$N$13,0)+IF(C4&gt;0,50000,0)+IF(C12&lt;0,50000,0)</f>
        <v>410000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14</v>
      </c>
      <c r="B5" s="307">
        <v>10.5</v>
      </c>
      <c r="C5" s="104">
        <v>36</v>
      </c>
      <c r="D5" s="124">
        <v>25</v>
      </c>
      <c r="E5" s="120" t="s">
        <v>106</v>
      </c>
      <c r="F5" s="104">
        <v>2</v>
      </c>
      <c r="G5" s="104">
        <v>8</v>
      </c>
      <c r="H5" s="107">
        <v>1450000</v>
      </c>
      <c r="I5" s="108">
        <f t="shared" si="0"/>
        <v>410000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46</v>
      </c>
      <c r="B6" s="307">
        <v>19.1</v>
      </c>
      <c r="C6" s="105">
        <v>36</v>
      </c>
      <c r="D6" s="105">
        <v>28</v>
      </c>
      <c r="E6" s="120"/>
      <c r="F6" s="12">
        <v>3</v>
      </c>
      <c r="G6" s="12">
        <v>6</v>
      </c>
      <c r="H6" s="107">
        <v>1350000</v>
      </c>
      <c r="I6" s="108">
        <f t="shared" si="0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28</v>
      </c>
      <c r="B7" s="307">
        <v>12</v>
      </c>
      <c r="C7" s="104">
        <v>35</v>
      </c>
      <c r="D7" s="124">
        <v>29</v>
      </c>
      <c r="E7" s="106">
        <v>2.23</v>
      </c>
      <c r="F7" s="104">
        <v>4</v>
      </c>
      <c r="G7" s="104">
        <v>5</v>
      </c>
      <c r="H7" s="107">
        <f>N7+I7</f>
        <v>1130000</v>
      </c>
      <c r="I7" s="108">
        <f t="shared" si="0"/>
        <v>410000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24</v>
      </c>
      <c r="B8" s="307">
        <v>15.1</v>
      </c>
      <c r="C8" s="104">
        <v>34</v>
      </c>
      <c r="D8" s="105">
        <v>31</v>
      </c>
      <c r="E8" s="106"/>
      <c r="F8" s="104">
        <v>5</v>
      </c>
      <c r="G8" s="104">
        <v>4</v>
      </c>
      <c r="H8" s="107">
        <f>N8+I8</f>
        <v>650000</v>
      </c>
      <c r="I8" s="108">
        <f t="shared" si="0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20</v>
      </c>
      <c r="B9" s="307">
        <v>18.4</v>
      </c>
      <c r="C9" s="104">
        <v>34</v>
      </c>
      <c r="D9" s="124">
        <v>29</v>
      </c>
      <c r="E9" s="106"/>
      <c r="F9" s="121">
        <v>6</v>
      </c>
      <c r="G9" s="121">
        <v>3</v>
      </c>
      <c r="H9" s="107">
        <v>790000</v>
      </c>
      <c r="I9" s="108">
        <f t="shared" si="0"/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50</v>
      </c>
      <c r="B10" s="307">
        <v>23.1</v>
      </c>
      <c r="C10" s="124">
        <v>34</v>
      </c>
      <c r="D10" s="105">
        <v>32</v>
      </c>
      <c r="E10" s="106"/>
      <c r="F10" s="104">
        <v>7</v>
      </c>
      <c r="G10" s="104">
        <v>2</v>
      </c>
      <c r="H10" s="107">
        <f>N10+I10</f>
        <v>410000</v>
      </c>
      <c r="I10" s="108">
        <f t="shared" si="0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8</v>
      </c>
      <c r="B11" s="307">
        <v>23.6</v>
      </c>
      <c r="C11" s="104">
        <v>34</v>
      </c>
      <c r="D11" s="105">
        <v>32</v>
      </c>
      <c r="E11" s="106"/>
      <c r="F11" s="104">
        <v>8</v>
      </c>
      <c r="G11" s="104">
        <v>1</v>
      </c>
      <c r="H11" s="107">
        <f>N11+I11</f>
        <v>290000</v>
      </c>
      <c r="I11" s="108">
        <f t="shared" si="0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48</v>
      </c>
      <c r="B12" s="307">
        <v>8.1</v>
      </c>
      <c r="C12" s="104">
        <v>33</v>
      </c>
      <c r="D12" s="105">
        <v>28</v>
      </c>
      <c r="E12" s="106"/>
      <c r="F12" s="104"/>
      <c r="G12" s="104"/>
      <c r="H12" s="107">
        <f aca="true" t="shared" si="1" ref="H12:H27">I12</f>
        <v>50000</v>
      </c>
      <c r="I12" s="108">
        <f aca="true" t="shared" si="2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16</v>
      </c>
      <c r="B13" s="307">
        <v>19</v>
      </c>
      <c r="C13" s="104">
        <v>33</v>
      </c>
      <c r="D13" s="124">
        <v>34</v>
      </c>
      <c r="E13" s="106"/>
      <c r="F13" s="104"/>
      <c r="G13" s="104"/>
      <c r="H13" s="107">
        <f t="shared" si="1"/>
        <v>50000</v>
      </c>
      <c r="I13" s="108">
        <f t="shared" si="2"/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42</v>
      </c>
      <c r="B14" s="307">
        <v>18</v>
      </c>
      <c r="C14" s="105">
        <v>32</v>
      </c>
      <c r="D14" s="105">
        <v>33</v>
      </c>
      <c r="E14" s="106"/>
      <c r="F14" s="104"/>
      <c r="G14" s="104"/>
      <c r="H14" s="107">
        <f t="shared" si="1"/>
        <v>50000</v>
      </c>
      <c r="I14" s="108">
        <f t="shared" si="2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22</v>
      </c>
      <c r="B15" s="307">
        <v>15.4</v>
      </c>
      <c r="C15" s="104">
        <v>31</v>
      </c>
      <c r="D15" s="105">
        <v>35</v>
      </c>
      <c r="E15" s="106"/>
      <c r="F15" s="104"/>
      <c r="G15" s="104"/>
      <c r="H15" s="107">
        <f t="shared" si="1"/>
        <v>50000</v>
      </c>
      <c r="I15" s="108">
        <f t="shared" si="2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32</v>
      </c>
      <c r="B16" s="307">
        <v>13.8</v>
      </c>
      <c r="C16" s="104">
        <v>30</v>
      </c>
      <c r="D16" s="105">
        <v>31</v>
      </c>
      <c r="E16" s="106"/>
      <c r="F16" s="12"/>
      <c r="G16" s="12"/>
      <c r="H16" s="107">
        <f t="shared" si="1"/>
        <v>50000</v>
      </c>
      <c r="I16" s="108">
        <f t="shared" si="2"/>
        <v>50000</v>
      </c>
    </row>
    <row r="17" spans="1:18" s="113" customFormat="1" ht="18" customHeight="1">
      <c r="A17" s="196" t="s">
        <v>12</v>
      </c>
      <c r="B17" s="307">
        <v>18.6</v>
      </c>
      <c r="C17" s="105">
        <v>30</v>
      </c>
      <c r="D17" s="124">
        <v>34</v>
      </c>
      <c r="E17" s="106"/>
      <c r="F17" s="12"/>
      <c r="G17" s="12"/>
      <c r="H17" s="107">
        <f t="shared" si="1"/>
        <v>50000</v>
      </c>
      <c r="I17" s="108">
        <f t="shared" si="2"/>
        <v>50000</v>
      </c>
      <c r="O17" s="118"/>
      <c r="P17" s="118"/>
      <c r="Q17" s="118"/>
      <c r="R17" s="119"/>
    </row>
    <row r="18" spans="1:13" s="113" customFormat="1" ht="18" customHeight="1">
      <c r="A18" s="196" t="s">
        <v>36</v>
      </c>
      <c r="B18" s="307">
        <v>20.7</v>
      </c>
      <c r="C18" s="105">
        <v>30</v>
      </c>
      <c r="D18" s="124">
        <v>33</v>
      </c>
      <c r="E18" s="120"/>
      <c r="F18" s="104"/>
      <c r="G18" s="104"/>
      <c r="H18" s="107">
        <f t="shared" si="1"/>
        <v>50000</v>
      </c>
      <c r="I18" s="108">
        <f t="shared" si="2"/>
        <v>50000</v>
      </c>
      <c r="J18" s="119"/>
      <c r="K18" s="119"/>
      <c r="L18" s="119"/>
      <c r="M18" s="119"/>
    </row>
    <row r="19" spans="1:13" s="113" customFormat="1" ht="18" customHeight="1">
      <c r="A19" s="196" t="s">
        <v>52</v>
      </c>
      <c r="B19" s="307">
        <v>13.9</v>
      </c>
      <c r="C19" s="105">
        <v>29</v>
      </c>
      <c r="D19" s="105">
        <v>34</v>
      </c>
      <c r="E19" s="106"/>
      <c r="F19" s="104"/>
      <c r="G19" s="104"/>
      <c r="H19" s="107">
        <f t="shared" si="1"/>
        <v>50000</v>
      </c>
      <c r="I19" s="108">
        <f t="shared" si="2"/>
        <v>50000</v>
      </c>
      <c r="J19" s="119"/>
      <c r="K19" s="119"/>
      <c r="L19" s="119"/>
      <c r="M19" s="119"/>
    </row>
    <row r="20" spans="1:9" s="88" customFormat="1" ht="18" customHeight="1">
      <c r="A20" s="196" t="s">
        <v>38</v>
      </c>
      <c r="B20" s="307">
        <v>14.6</v>
      </c>
      <c r="C20" s="12">
        <v>29</v>
      </c>
      <c r="D20" s="105">
        <v>33</v>
      </c>
      <c r="E20" s="120"/>
      <c r="F20" s="12"/>
      <c r="G20" s="12"/>
      <c r="H20" s="107">
        <f t="shared" si="1"/>
        <v>50000</v>
      </c>
      <c r="I20" s="108">
        <f t="shared" si="2"/>
        <v>50000</v>
      </c>
    </row>
    <row r="21" spans="1:9" s="88" customFormat="1" ht="18" customHeight="1">
      <c r="A21" s="196" t="s">
        <v>30</v>
      </c>
      <c r="B21" s="307">
        <v>12.5</v>
      </c>
      <c r="C21" s="104">
        <v>28</v>
      </c>
      <c r="D21" s="105">
        <v>35</v>
      </c>
      <c r="E21" s="106"/>
      <c r="F21" s="12"/>
      <c r="G21" s="12"/>
      <c r="H21" s="107">
        <f t="shared" si="1"/>
        <v>50000</v>
      </c>
      <c r="I21" s="108">
        <f t="shared" si="2"/>
        <v>50000</v>
      </c>
    </row>
    <row r="22" spans="1:9" s="88" customFormat="1" ht="18" customHeight="1">
      <c r="A22" s="196" t="s">
        <v>18</v>
      </c>
      <c r="B22" s="307">
        <v>14.2</v>
      </c>
      <c r="C22" s="104">
        <v>27</v>
      </c>
      <c r="D22" s="124">
        <v>34</v>
      </c>
      <c r="E22" s="120"/>
      <c r="F22" s="12"/>
      <c r="G22" s="12"/>
      <c r="H22" s="107">
        <f t="shared" si="1"/>
        <v>50000</v>
      </c>
      <c r="I22" s="108">
        <f t="shared" si="2"/>
        <v>50000</v>
      </c>
    </row>
    <row r="23" spans="1:9" s="88" customFormat="1" ht="18" customHeight="1">
      <c r="A23" s="196" t="s">
        <v>34</v>
      </c>
      <c r="B23" s="307">
        <v>14.6</v>
      </c>
      <c r="C23" s="104">
        <v>24</v>
      </c>
      <c r="D23" s="105">
        <v>33</v>
      </c>
      <c r="E23" s="120"/>
      <c r="F23" s="12"/>
      <c r="G23" s="12"/>
      <c r="H23" s="107">
        <f t="shared" si="1"/>
        <v>50000</v>
      </c>
      <c r="I23" s="108">
        <f t="shared" si="2"/>
        <v>50000</v>
      </c>
    </row>
    <row r="24" spans="1:9" s="88" customFormat="1" ht="18" customHeight="1">
      <c r="A24" s="196" t="s">
        <v>26</v>
      </c>
      <c r="B24" s="307">
        <v>22</v>
      </c>
      <c r="C24" s="12">
        <v>22</v>
      </c>
      <c r="D24" s="124">
        <v>39</v>
      </c>
      <c r="E24" s="120"/>
      <c r="F24" s="12"/>
      <c r="G24" s="12"/>
      <c r="H24" s="107">
        <f t="shared" si="1"/>
        <v>50000</v>
      </c>
      <c r="I24" s="108">
        <f t="shared" si="2"/>
        <v>50000</v>
      </c>
    </row>
    <row r="25" spans="1:9" s="88" customFormat="1" ht="18" customHeight="1">
      <c r="A25" s="196"/>
      <c r="B25" s="307"/>
      <c r="C25" s="104"/>
      <c r="D25" s="105"/>
      <c r="E25" s="120"/>
      <c r="F25" s="12"/>
      <c r="G25" s="12"/>
      <c r="H25" s="107">
        <f t="shared" si="1"/>
        <v>0</v>
      </c>
      <c r="I25" s="108">
        <f t="shared" si="2"/>
        <v>0</v>
      </c>
    </row>
    <row r="26" spans="1:9" s="88" customFormat="1" ht="18" customHeight="1">
      <c r="A26" s="196"/>
      <c r="B26" s="307"/>
      <c r="C26" s="104"/>
      <c r="D26" s="105"/>
      <c r="E26" s="106"/>
      <c r="F26" s="104"/>
      <c r="G26" s="104"/>
      <c r="H26" s="107">
        <f t="shared" si="1"/>
        <v>0</v>
      </c>
      <c r="I26" s="108">
        <f t="shared" si="2"/>
        <v>0</v>
      </c>
    </row>
    <row r="27" spans="1:9" s="88" customFormat="1" ht="18" customHeight="1">
      <c r="A27" s="196"/>
      <c r="B27" s="307"/>
      <c r="C27" s="104"/>
      <c r="D27" s="105"/>
      <c r="E27" s="106"/>
      <c r="F27" s="104"/>
      <c r="G27" s="104"/>
      <c r="H27" s="107">
        <f t="shared" si="1"/>
        <v>0</v>
      </c>
      <c r="I27" s="108">
        <f t="shared" si="2"/>
        <v>0</v>
      </c>
    </row>
    <row r="28" spans="1:9" ht="24" customHeight="1">
      <c r="A28" s="1"/>
      <c r="B28" s="3"/>
      <c r="C28" s="138"/>
      <c r="D28" s="139">
        <f>SUM(D4:D27)</f>
        <v>674</v>
      </c>
      <c r="E28" s="138"/>
      <c r="F28" s="3"/>
      <c r="G28" s="140">
        <f>SUM(G4:G27)</f>
        <v>39</v>
      </c>
      <c r="H28" s="140">
        <f>SUM(H4:H27)</f>
        <v>8370000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175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294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114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449" t="s">
        <v>10</v>
      </c>
      <c r="B4" s="450">
        <v>15.4</v>
      </c>
      <c r="C4" s="104">
        <v>35</v>
      </c>
      <c r="D4" s="105">
        <v>29</v>
      </c>
      <c r="E4" s="106"/>
      <c r="F4" s="104">
        <v>1</v>
      </c>
      <c r="G4" s="104">
        <v>10</v>
      </c>
      <c r="H4" s="107">
        <f aca="true" t="shared" si="0" ref="H4:H11">N4+I4</f>
        <v>1550000</v>
      </c>
      <c r="I4" s="108">
        <f aca="true" t="shared" si="1" ref="I4:I11"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451" t="s">
        <v>12</v>
      </c>
      <c r="B5" s="452">
        <v>18.5</v>
      </c>
      <c r="C5" s="12">
        <v>34</v>
      </c>
      <c r="D5" s="124">
        <v>31</v>
      </c>
      <c r="E5" s="106"/>
      <c r="F5" s="104">
        <v>2</v>
      </c>
      <c r="G5" s="104">
        <v>8</v>
      </c>
      <c r="H5" s="107">
        <f t="shared" si="0"/>
        <v>1250000</v>
      </c>
      <c r="I5" s="108">
        <f t="shared" si="1"/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451" t="s">
        <v>36</v>
      </c>
      <c r="B6" s="452">
        <v>21.2</v>
      </c>
      <c r="C6" s="104">
        <v>33</v>
      </c>
      <c r="D6" s="105">
        <v>29</v>
      </c>
      <c r="E6" s="120"/>
      <c r="F6" s="12">
        <v>3</v>
      </c>
      <c r="G6" s="12">
        <v>6</v>
      </c>
      <c r="H6" s="107">
        <f t="shared" si="0"/>
        <v>950000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6" s="113" customFormat="1" ht="18" customHeight="1">
      <c r="A7" s="451" t="s">
        <v>8</v>
      </c>
      <c r="B7" s="452">
        <v>23.4</v>
      </c>
      <c r="C7" s="105">
        <v>33</v>
      </c>
      <c r="D7" s="105">
        <v>39</v>
      </c>
      <c r="E7" s="120"/>
      <c r="F7" s="104">
        <v>4</v>
      </c>
      <c r="G7" s="104">
        <v>5</v>
      </c>
      <c r="H7" s="107">
        <f t="shared" si="0"/>
        <v>770000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</row>
    <row r="8" spans="1:14" s="113" customFormat="1" ht="18" customHeight="1">
      <c r="A8" s="451" t="s">
        <v>48</v>
      </c>
      <c r="B8" s="452">
        <v>7.9</v>
      </c>
      <c r="C8" s="104">
        <v>32</v>
      </c>
      <c r="D8" s="124">
        <v>28</v>
      </c>
      <c r="E8" s="106">
        <v>1.58</v>
      </c>
      <c r="F8" s="104">
        <v>5</v>
      </c>
      <c r="G8" s="104">
        <v>4</v>
      </c>
      <c r="H8" s="107">
        <f t="shared" si="0"/>
        <v>1010000</v>
      </c>
      <c r="I8" s="108">
        <f t="shared" si="1"/>
        <v>410000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451" t="s">
        <v>30</v>
      </c>
      <c r="B9" s="452">
        <v>12.5</v>
      </c>
      <c r="C9" s="104">
        <v>31</v>
      </c>
      <c r="D9" s="105">
        <v>34</v>
      </c>
      <c r="E9" s="106"/>
      <c r="F9" s="121">
        <v>6</v>
      </c>
      <c r="G9" s="121">
        <v>3</v>
      </c>
      <c r="H9" s="107">
        <f t="shared" si="0"/>
        <v>530000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451" t="s">
        <v>16</v>
      </c>
      <c r="B10" s="452">
        <v>18.9</v>
      </c>
      <c r="C10" s="104">
        <v>28</v>
      </c>
      <c r="D10" s="105">
        <v>36</v>
      </c>
      <c r="E10" s="120"/>
      <c r="F10" s="104">
        <v>7</v>
      </c>
      <c r="G10" s="104">
        <v>2</v>
      </c>
      <c r="H10" s="107">
        <f t="shared" si="0"/>
        <v>410000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451" t="s">
        <v>18</v>
      </c>
      <c r="B11" s="452">
        <v>14.9</v>
      </c>
      <c r="C11" s="105">
        <v>27</v>
      </c>
      <c r="D11" s="105">
        <v>29</v>
      </c>
      <c r="E11" s="120"/>
      <c r="F11" s="104">
        <v>8</v>
      </c>
      <c r="G11" s="104">
        <v>1</v>
      </c>
      <c r="H11" s="107">
        <f t="shared" si="0"/>
        <v>290000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451" t="s">
        <v>42</v>
      </c>
      <c r="B12" s="452">
        <v>17.9</v>
      </c>
      <c r="C12" s="104">
        <v>27</v>
      </c>
      <c r="D12" s="105">
        <v>41</v>
      </c>
      <c r="E12" s="106"/>
      <c r="F12" s="104"/>
      <c r="G12" s="104"/>
      <c r="H12" s="107">
        <f aca="true" t="shared" si="2" ref="H12:H27">I12</f>
        <v>50000</v>
      </c>
      <c r="I12" s="108">
        <f aca="true" t="shared" si="3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451" t="s">
        <v>28</v>
      </c>
      <c r="B13" s="452">
        <v>12.2</v>
      </c>
      <c r="C13" s="105">
        <v>26</v>
      </c>
      <c r="D13" s="124">
        <v>33</v>
      </c>
      <c r="E13" s="120"/>
      <c r="F13" s="104"/>
      <c r="G13" s="104"/>
      <c r="H13" s="107">
        <f t="shared" si="2"/>
        <v>50000</v>
      </c>
      <c r="I13" s="108">
        <f t="shared" si="3"/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451" t="s">
        <v>34</v>
      </c>
      <c r="B14" s="452">
        <v>14.6</v>
      </c>
      <c r="C14" s="104">
        <v>26</v>
      </c>
      <c r="D14" s="105">
        <v>35</v>
      </c>
      <c r="E14" s="120"/>
      <c r="F14" s="104"/>
      <c r="G14" s="104"/>
      <c r="H14" s="107">
        <f t="shared" si="2"/>
        <v>50000</v>
      </c>
      <c r="I14" s="108">
        <f t="shared" si="3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451" t="s">
        <v>38</v>
      </c>
      <c r="B15" s="452">
        <v>14.5</v>
      </c>
      <c r="C15" s="104">
        <v>25</v>
      </c>
      <c r="D15" s="105">
        <v>36</v>
      </c>
      <c r="E15" s="120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451" t="s">
        <v>40</v>
      </c>
      <c r="B16" s="452">
        <v>25.7</v>
      </c>
      <c r="C16" s="104">
        <v>19</v>
      </c>
      <c r="D16" s="124">
        <v>41</v>
      </c>
      <c r="E16" s="106"/>
      <c r="F16" s="12"/>
      <c r="G16" s="12"/>
      <c r="H16" s="107">
        <f t="shared" si="2"/>
        <v>50000</v>
      </c>
      <c r="I16" s="108">
        <f t="shared" si="3"/>
        <v>50000</v>
      </c>
    </row>
    <row r="17" spans="1:9" s="113" customFormat="1" ht="18" customHeight="1">
      <c r="A17" s="451"/>
      <c r="B17" s="452"/>
      <c r="C17" s="104"/>
      <c r="D17" s="124"/>
      <c r="E17" s="106"/>
      <c r="F17" s="12"/>
      <c r="G17" s="12"/>
      <c r="H17" s="107">
        <f t="shared" si="2"/>
        <v>0</v>
      </c>
      <c r="I17" s="108">
        <f t="shared" si="3"/>
        <v>0</v>
      </c>
    </row>
    <row r="18" spans="1:12" s="113" customFormat="1" ht="18" customHeight="1">
      <c r="A18" s="451"/>
      <c r="B18" s="452"/>
      <c r="C18" s="105"/>
      <c r="D18" s="105"/>
      <c r="E18" s="106"/>
      <c r="F18" s="104"/>
      <c r="G18" s="104"/>
      <c r="H18" s="107">
        <f t="shared" si="2"/>
        <v>0</v>
      </c>
      <c r="I18" s="108">
        <f t="shared" si="3"/>
        <v>0</v>
      </c>
      <c r="J18" s="119"/>
      <c r="K18" s="119"/>
      <c r="L18" s="119"/>
    </row>
    <row r="19" spans="1:12" s="113" customFormat="1" ht="18" customHeight="1">
      <c r="A19" s="451"/>
      <c r="B19" s="452"/>
      <c r="C19" s="104"/>
      <c r="D19" s="124"/>
      <c r="E19" s="106"/>
      <c r="F19" s="104"/>
      <c r="G19" s="104"/>
      <c r="H19" s="107">
        <f t="shared" si="2"/>
        <v>0</v>
      </c>
      <c r="I19" s="108">
        <f t="shared" si="3"/>
        <v>0</v>
      </c>
      <c r="J19" s="119"/>
      <c r="K19" s="119"/>
      <c r="L19" s="119"/>
    </row>
    <row r="20" spans="1:9" s="88" customFormat="1" ht="18" customHeight="1">
      <c r="A20" s="451"/>
      <c r="B20" s="452"/>
      <c r="C20" s="104"/>
      <c r="D20" s="124"/>
      <c r="E20" s="106"/>
      <c r="F20" s="12"/>
      <c r="G20" s="12"/>
      <c r="H20" s="107">
        <f t="shared" si="2"/>
        <v>0</v>
      </c>
      <c r="I20" s="108">
        <f t="shared" si="3"/>
        <v>0</v>
      </c>
    </row>
    <row r="21" spans="1:9" s="88" customFormat="1" ht="18" customHeight="1">
      <c r="A21" s="451"/>
      <c r="B21" s="452"/>
      <c r="C21" s="104"/>
      <c r="D21" s="105"/>
      <c r="E21" s="106"/>
      <c r="F21" s="12"/>
      <c r="G21" s="12"/>
      <c r="H21" s="107">
        <f t="shared" si="2"/>
        <v>0</v>
      </c>
      <c r="I21" s="108">
        <f t="shared" si="3"/>
        <v>0</v>
      </c>
    </row>
    <row r="22" spans="1:9" s="88" customFormat="1" ht="18" customHeight="1">
      <c r="A22" s="451"/>
      <c r="B22" s="452"/>
      <c r="C22" s="105"/>
      <c r="D22" s="124"/>
      <c r="E22" s="106"/>
      <c r="F22" s="12"/>
      <c r="G22" s="12"/>
      <c r="H22" s="107">
        <f t="shared" si="2"/>
        <v>0</v>
      </c>
      <c r="I22" s="108">
        <f t="shared" si="3"/>
        <v>0</v>
      </c>
    </row>
    <row r="23" spans="1:9" s="88" customFormat="1" ht="18" customHeight="1">
      <c r="A23" s="451"/>
      <c r="B23" s="452"/>
      <c r="C23" s="124"/>
      <c r="D23" s="105"/>
      <c r="E23" s="106"/>
      <c r="F23" s="12"/>
      <c r="G23" s="12"/>
      <c r="H23" s="107">
        <f t="shared" si="2"/>
        <v>0</v>
      </c>
      <c r="I23" s="108">
        <f t="shared" si="3"/>
        <v>0</v>
      </c>
    </row>
    <row r="24" spans="1:9" s="88" customFormat="1" ht="18" customHeight="1">
      <c r="A24" s="451"/>
      <c r="B24" s="452"/>
      <c r="C24" s="104"/>
      <c r="D24" s="105"/>
      <c r="E24" s="120"/>
      <c r="F24" s="12"/>
      <c r="G24" s="12"/>
      <c r="H24" s="107">
        <f t="shared" si="2"/>
        <v>0</v>
      </c>
      <c r="I24" s="108">
        <f t="shared" si="3"/>
        <v>0</v>
      </c>
    </row>
    <row r="25" spans="1:9" s="88" customFormat="1" ht="18" customHeight="1">
      <c r="A25" s="451"/>
      <c r="B25" s="452"/>
      <c r="C25" s="104"/>
      <c r="D25" s="105"/>
      <c r="E25" s="106"/>
      <c r="F25" s="12"/>
      <c r="G25" s="12"/>
      <c r="H25" s="107">
        <f t="shared" si="2"/>
        <v>0</v>
      </c>
      <c r="I25" s="108">
        <f t="shared" si="3"/>
        <v>0</v>
      </c>
    </row>
    <row r="26" spans="1:9" s="88" customFormat="1" ht="18" customHeight="1">
      <c r="A26" s="451"/>
      <c r="B26" s="452"/>
      <c r="C26" s="105"/>
      <c r="D26" s="105"/>
      <c r="E26" s="106"/>
      <c r="F26" s="104"/>
      <c r="G26" s="104"/>
      <c r="H26" s="107">
        <f t="shared" si="2"/>
        <v>0</v>
      </c>
      <c r="I26" s="108">
        <f t="shared" si="3"/>
        <v>0</v>
      </c>
    </row>
    <row r="27" spans="1:9" s="88" customFormat="1" ht="18" customHeight="1">
      <c r="A27" s="451"/>
      <c r="B27" s="452"/>
      <c r="C27" s="12"/>
      <c r="D27" s="105"/>
      <c r="E27" s="106"/>
      <c r="F27" s="104"/>
      <c r="G27" s="104"/>
      <c r="H27" s="107">
        <f t="shared" si="2"/>
        <v>0</v>
      </c>
      <c r="I27" s="108">
        <f t="shared" si="3"/>
        <v>0</v>
      </c>
    </row>
    <row r="28" spans="1:9" ht="24" customHeight="1" thickBot="1">
      <c r="A28" s="1"/>
      <c r="B28" s="3"/>
      <c r="C28" s="138"/>
      <c r="D28" s="139">
        <f>SUM(D4:D27)</f>
        <v>441</v>
      </c>
      <c r="E28" s="138"/>
      <c r="F28" s="3"/>
      <c r="G28" s="140">
        <f>SUM(G4:G27)</f>
        <v>39</v>
      </c>
      <c r="H28" s="140">
        <f>SUM(H4:H27)</f>
        <v>7010000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115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293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449" t="s">
        <v>48</v>
      </c>
      <c r="B4" s="450">
        <v>7.9</v>
      </c>
      <c r="C4" s="104">
        <v>37</v>
      </c>
      <c r="D4" s="105">
        <v>25</v>
      </c>
      <c r="E4" s="106"/>
      <c r="F4" s="104">
        <v>1</v>
      </c>
      <c r="G4" s="104">
        <v>10</v>
      </c>
      <c r="H4" s="107">
        <f aca="true" t="shared" si="0" ref="H4:H11">N4+I4</f>
        <v>1550000</v>
      </c>
      <c r="I4" s="108">
        <f aca="true" t="shared" si="1" ref="I4:I11"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451" t="s">
        <v>8</v>
      </c>
      <c r="B5" s="452">
        <v>23.4</v>
      </c>
      <c r="C5" s="104">
        <v>35</v>
      </c>
      <c r="D5" s="105">
        <v>30</v>
      </c>
      <c r="E5" s="106"/>
      <c r="F5" s="104">
        <v>2</v>
      </c>
      <c r="G5" s="104">
        <v>8</v>
      </c>
      <c r="H5" s="107">
        <f t="shared" si="0"/>
        <v>1250000</v>
      </c>
      <c r="I5" s="108">
        <f t="shared" si="1"/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451" t="s">
        <v>50</v>
      </c>
      <c r="B6" s="452">
        <v>22.9</v>
      </c>
      <c r="C6" s="104">
        <v>33</v>
      </c>
      <c r="D6" s="105">
        <v>34</v>
      </c>
      <c r="E6" s="106"/>
      <c r="F6" s="12">
        <v>3</v>
      </c>
      <c r="G6" s="12">
        <v>6</v>
      </c>
      <c r="H6" s="107">
        <f t="shared" si="0"/>
        <v>950000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6" s="113" customFormat="1" ht="18" customHeight="1">
      <c r="A7" s="451" t="s">
        <v>10</v>
      </c>
      <c r="B7" s="452">
        <v>15.4</v>
      </c>
      <c r="C7" s="104">
        <v>32</v>
      </c>
      <c r="D7" s="105">
        <v>34</v>
      </c>
      <c r="E7" s="106"/>
      <c r="F7" s="104">
        <v>4</v>
      </c>
      <c r="G7" s="104">
        <v>5</v>
      </c>
      <c r="H7" s="107">
        <f t="shared" si="0"/>
        <v>770000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</row>
    <row r="8" spans="1:14" s="113" customFormat="1" ht="18" customHeight="1">
      <c r="A8" s="451" t="s">
        <v>40</v>
      </c>
      <c r="B8" s="452">
        <v>25.7</v>
      </c>
      <c r="C8" s="124">
        <v>30</v>
      </c>
      <c r="D8" s="105">
        <v>41</v>
      </c>
      <c r="E8" s="106"/>
      <c r="F8" s="104">
        <v>5</v>
      </c>
      <c r="G8" s="104">
        <v>4</v>
      </c>
      <c r="H8" s="107">
        <f t="shared" si="0"/>
        <v>650000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451" t="s">
        <v>42</v>
      </c>
      <c r="B9" s="452">
        <v>17.9</v>
      </c>
      <c r="C9" s="105">
        <v>29</v>
      </c>
      <c r="D9" s="105">
        <v>34</v>
      </c>
      <c r="E9" s="120"/>
      <c r="F9" s="121">
        <v>6</v>
      </c>
      <c r="G9" s="121">
        <v>3</v>
      </c>
      <c r="H9" s="107">
        <f t="shared" si="0"/>
        <v>530000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451" t="s">
        <v>30</v>
      </c>
      <c r="B10" s="452">
        <v>12.5</v>
      </c>
      <c r="C10" s="12">
        <v>28</v>
      </c>
      <c r="D10" s="124">
        <v>36</v>
      </c>
      <c r="E10" s="120"/>
      <c r="F10" s="104">
        <v>7</v>
      </c>
      <c r="G10" s="104">
        <v>2</v>
      </c>
      <c r="H10" s="107">
        <f t="shared" si="0"/>
        <v>410000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451" t="s">
        <v>34</v>
      </c>
      <c r="B11" s="452">
        <v>14.6</v>
      </c>
      <c r="C11" s="104">
        <v>27</v>
      </c>
      <c r="D11" s="124">
        <v>35</v>
      </c>
      <c r="E11" s="106"/>
      <c r="F11" s="104">
        <v>8</v>
      </c>
      <c r="G11" s="104">
        <v>1</v>
      </c>
      <c r="H11" s="107">
        <f t="shared" si="0"/>
        <v>290000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451" t="s">
        <v>46</v>
      </c>
      <c r="B12" s="452">
        <v>18.9</v>
      </c>
      <c r="C12" s="105">
        <v>25</v>
      </c>
      <c r="D12" s="124">
        <v>33</v>
      </c>
      <c r="E12" s="106"/>
      <c r="F12" s="104"/>
      <c r="G12" s="104"/>
      <c r="H12" s="107">
        <f aca="true" t="shared" si="2" ref="H12:H27">I12</f>
        <v>50000</v>
      </c>
      <c r="I12" s="108">
        <f aca="true" t="shared" si="3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451"/>
      <c r="B13" s="452"/>
      <c r="C13" s="104"/>
      <c r="D13" s="105"/>
      <c r="E13" s="106"/>
      <c r="F13" s="104"/>
      <c r="G13" s="104"/>
      <c r="H13" s="107">
        <f t="shared" si="2"/>
        <v>0</v>
      </c>
      <c r="I13" s="108">
        <f t="shared" si="3"/>
        <v>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451"/>
      <c r="B14" s="452"/>
      <c r="C14" s="104"/>
      <c r="D14" s="124"/>
      <c r="E14" s="120"/>
      <c r="F14" s="104"/>
      <c r="G14" s="104"/>
      <c r="H14" s="107">
        <f t="shared" si="2"/>
        <v>0</v>
      </c>
      <c r="I14" s="108">
        <f t="shared" si="3"/>
        <v>0</v>
      </c>
      <c r="J14" s="130"/>
      <c r="K14" s="126"/>
      <c r="L14" s="126"/>
      <c r="M14" s="131"/>
      <c r="N14" s="132"/>
    </row>
    <row r="15" spans="1:14" s="113" customFormat="1" ht="18" customHeight="1">
      <c r="A15" s="451"/>
      <c r="B15" s="452"/>
      <c r="C15" s="105"/>
      <c r="D15" s="105"/>
      <c r="E15" s="120"/>
      <c r="F15" s="104"/>
      <c r="G15" s="104"/>
      <c r="H15" s="107">
        <f t="shared" si="2"/>
        <v>0</v>
      </c>
      <c r="I15" s="108">
        <f t="shared" si="3"/>
        <v>0</v>
      </c>
      <c r="J15" s="133"/>
      <c r="K15" s="134"/>
      <c r="L15" s="134"/>
      <c r="M15" s="135"/>
      <c r="N15" s="136"/>
    </row>
    <row r="16" spans="1:9" s="113" customFormat="1" ht="18" customHeight="1">
      <c r="A16" s="451"/>
      <c r="B16" s="452"/>
      <c r="C16" s="104"/>
      <c r="D16" s="124"/>
      <c r="E16" s="106"/>
      <c r="F16" s="12"/>
      <c r="G16" s="12"/>
      <c r="H16" s="107">
        <f t="shared" si="2"/>
        <v>0</v>
      </c>
      <c r="I16" s="108">
        <f t="shared" si="3"/>
        <v>0</v>
      </c>
    </row>
    <row r="17" spans="1:13" s="113" customFormat="1" ht="18" customHeight="1">
      <c r="A17" s="451"/>
      <c r="B17" s="452"/>
      <c r="C17" s="105"/>
      <c r="D17" s="124"/>
      <c r="E17" s="106"/>
      <c r="F17" s="12"/>
      <c r="G17" s="12"/>
      <c r="H17" s="107">
        <f t="shared" si="2"/>
        <v>0</v>
      </c>
      <c r="I17" s="108">
        <f t="shared" si="3"/>
        <v>0</v>
      </c>
      <c r="J17" s="118"/>
      <c r="K17" s="118"/>
      <c r="L17" s="118"/>
      <c r="M17" s="119"/>
    </row>
    <row r="18" spans="1:14" s="113" customFormat="1" ht="18" customHeight="1">
      <c r="A18" s="451"/>
      <c r="B18" s="452"/>
      <c r="C18" s="12"/>
      <c r="D18" s="105"/>
      <c r="E18" s="120"/>
      <c r="F18" s="104"/>
      <c r="G18" s="104"/>
      <c r="H18" s="107">
        <f t="shared" si="2"/>
        <v>0</v>
      </c>
      <c r="I18" s="108">
        <f t="shared" si="3"/>
        <v>0</v>
      </c>
      <c r="J18" s="135"/>
      <c r="K18" s="135"/>
      <c r="L18" s="135"/>
      <c r="M18" s="135"/>
      <c r="N18" s="135"/>
    </row>
    <row r="19" spans="1:14" s="113" customFormat="1" ht="18" customHeight="1">
      <c r="A19" s="451"/>
      <c r="B19" s="452"/>
      <c r="C19" s="105"/>
      <c r="D19" s="105"/>
      <c r="E19" s="120"/>
      <c r="F19" s="104"/>
      <c r="G19" s="104"/>
      <c r="H19" s="107">
        <f t="shared" si="2"/>
        <v>0</v>
      </c>
      <c r="I19" s="108">
        <f t="shared" si="3"/>
        <v>0</v>
      </c>
      <c r="J19" s="135"/>
      <c r="K19" s="135"/>
      <c r="L19" s="135"/>
      <c r="M19" s="136"/>
      <c r="N19" s="136"/>
    </row>
    <row r="20" spans="1:14" s="88" customFormat="1" ht="18" customHeight="1">
      <c r="A20" s="451"/>
      <c r="B20" s="452"/>
      <c r="C20" s="104"/>
      <c r="D20" s="105"/>
      <c r="E20" s="106"/>
      <c r="F20" s="12"/>
      <c r="G20" s="12"/>
      <c r="H20" s="107">
        <f t="shared" si="2"/>
        <v>0</v>
      </c>
      <c r="I20" s="108">
        <f t="shared" si="3"/>
        <v>0</v>
      </c>
      <c r="J20" s="135"/>
      <c r="K20" s="135"/>
      <c r="L20" s="135"/>
      <c r="M20" s="136"/>
      <c r="N20" s="136"/>
    </row>
    <row r="21" spans="1:14" s="88" customFormat="1" ht="18" customHeight="1">
      <c r="A21" s="451"/>
      <c r="B21" s="452"/>
      <c r="C21" s="104"/>
      <c r="D21" s="105"/>
      <c r="E21" s="120"/>
      <c r="F21" s="12"/>
      <c r="G21" s="12"/>
      <c r="H21" s="107">
        <f t="shared" si="2"/>
        <v>0</v>
      </c>
      <c r="I21" s="108">
        <f t="shared" si="3"/>
        <v>0</v>
      </c>
      <c r="J21" s="135"/>
      <c r="K21" s="135"/>
      <c r="L21" s="135"/>
      <c r="M21" s="136"/>
      <c r="N21" s="136"/>
    </row>
    <row r="22" spans="1:14" s="88" customFormat="1" ht="18" customHeight="1">
      <c r="A22" s="451"/>
      <c r="B22" s="452"/>
      <c r="C22" s="104"/>
      <c r="D22" s="105"/>
      <c r="E22" s="106"/>
      <c r="F22" s="12"/>
      <c r="G22" s="12"/>
      <c r="H22" s="107">
        <f t="shared" si="2"/>
        <v>0</v>
      </c>
      <c r="I22" s="108">
        <f t="shared" si="3"/>
        <v>0</v>
      </c>
      <c r="J22" s="135"/>
      <c r="K22" s="135"/>
      <c r="L22" s="135"/>
      <c r="M22" s="136"/>
      <c r="N22" s="136"/>
    </row>
    <row r="23" spans="1:14" s="88" customFormat="1" ht="18" customHeight="1">
      <c r="A23" s="451"/>
      <c r="B23" s="452"/>
      <c r="C23" s="104"/>
      <c r="D23" s="105"/>
      <c r="E23" s="106"/>
      <c r="F23" s="12"/>
      <c r="G23" s="12"/>
      <c r="H23" s="107">
        <f t="shared" si="2"/>
        <v>0</v>
      </c>
      <c r="I23" s="108">
        <f t="shared" si="3"/>
        <v>0</v>
      </c>
      <c r="J23" s="262"/>
      <c r="K23" s="262"/>
      <c r="L23" s="263"/>
      <c r="M23" s="264"/>
      <c r="N23" s="264"/>
    </row>
    <row r="24" spans="1:14" s="88" customFormat="1" ht="18" customHeight="1">
      <c r="A24" s="451"/>
      <c r="B24" s="452"/>
      <c r="C24" s="104"/>
      <c r="D24" s="124"/>
      <c r="E24" s="106"/>
      <c r="F24" s="12"/>
      <c r="G24" s="12"/>
      <c r="H24" s="107">
        <f t="shared" si="2"/>
        <v>0</v>
      </c>
      <c r="I24" s="108">
        <f t="shared" si="3"/>
        <v>0</v>
      </c>
      <c r="J24" s="262"/>
      <c r="K24" s="262"/>
      <c r="L24" s="263"/>
      <c r="M24" s="264"/>
      <c r="N24" s="264"/>
    </row>
    <row r="25" spans="1:14" s="88" customFormat="1" ht="18" customHeight="1">
      <c r="A25" s="451"/>
      <c r="B25" s="452"/>
      <c r="C25" s="104"/>
      <c r="D25" s="124"/>
      <c r="E25" s="106"/>
      <c r="F25" s="12"/>
      <c r="G25" s="12"/>
      <c r="H25" s="107">
        <f t="shared" si="2"/>
        <v>0</v>
      </c>
      <c r="I25" s="108">
        <f t="shared" si="3"/>
        <v>0</v>
      </c>
      <c r="J25" s="135"/>
      <c r="K25" s="135"/>
      <c r="L25" s="135"/>
      <c r="M25" s="136"/>
      <c r="N25" s="136"/>
    </row>
    <row r="26" spans="1:14" s="88" customFormat="1" ht="18" customHeight="1">
      <c r="A26" s="451"/>
      <c r="B26" s="452"/>
      <c r="C26" s="105"/>
      <c r="D26" s="105"/>
      <c r="E26" s="120"/>
      <c r="F26" s="104"/>
      <c r="G26" s="104"/>
      <c r="H26" s="107">
        <f t="shared" si="2"/>
        <v>0</v>
      </c>
      <c r="I26" s="108">
        <f t="shared" si="3"/>
        <v>0</v>
      </c>
      <c r="J26" s="135"/>
      <c r="K26" s="135"/>
      <c r="L26" s="135"/>
      <c r="M26" s="136"/>
      <c r="N26" s="136"/>
    </row>
    <row r="27" spans="1:14" s="88" customFormat="1" ht="18" customHeight="1">
      <c r="A27" s="451"/>
      <c r="B27" s="452"/>
      <c r="C27" s="104"/>
      <c r="D27" s="105"/>
      <c r="E27" s="106"/>
      <c r="F27" s="104"/>
      <c r="G27" s="104"/>
      <c r="H27" s="107">
        <f t="shared" si="2"/>
        <v>0</v>
      </c>
      <c r="I27" s="108">
        <f t="shared" si="3"/>
        <v>0</v>
      </c>
      <c r="J27" s="135"/>
      <c r="K27" s="135"/>
      <c r="L27" s="135"/>
      <c r="M27" s="136"/>
      <c r="N27" s="136"/>
    </row>
    <row r="28" spans="1:9" ht="24" customHeight="1" thickBot="1">
      <c r="A28" s="1"/>
      <c r="B28" s="3"/>
      <c r="C28" s="138"/>
      <c r="D28" s="139">
        <f>SUM(D4:D27)</f>
        <v>302</v>
      </c>
      <c r="E28" s="138"/>
      <c r="F28" s="3"/>
      <c r="G28" s="140">
        <f>SUM(G4:G27)</f>
        <v>39</v>
      </c>
      <c r="H28" s="140">
        <f>SUM(H4:H27)</f>
        <v>6450000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116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205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112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10</v>
      </c>
      <c r="B4" s="307">
        <v>15.5</v>
      </c>
      <c r="C4" s="104">
        <v>41</v>
      </c>
      <c r="D4" s="105">
        <v>28</v>
      </c>
      <c r="E4" s="106"/>
      <c r="F4" s="104">
        <v>1</v>
      </c>
      <c r="G4" s="104">
        <v>10</v>
      </c>
      <c r="H4" s="107">
        <f aca="true" t="shared" si="0" ref="H4:H11">N4+I4</f>
        <v>2050000</v>
      </c>
      <c r="I4" s="108">
        <f aca="true" t="shared" si="1" ref="I4:I11"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2000000</v>
      </c>
    </row>
    <row r="5" spans="1:14" s="113" customFormat="1" ht="18" customHeight="1">
      <c r="A5" s="196" t="s">
        <v>30</v>
      </c>
      <c r="B5" s="307">
        <v>12.5</v>
      </c>
      <c r="C5" s="104">
        <v>72</v>
      </c>
      <c r="D5" s="105">
        <v>31</v>
      </c>
      <c r="E5" s="106"/>
      <c r="F5" s="104">
        <v>2</v>
      </c>
      <c r="G5" s="104">
        <v>8</v>
      </c>
      <c r="H5" s="107">
        <f t="shared" si="0"/>
        <v>1650000</v>
      </c>
      <c r="I5" s="108">
        <f t="shared" si="1"/>
        <v>50000</v>
      </c>
      <c r="J5" s="114" t="s">
        <v>89</v>
      </c>
      <c r="K5" s="115"/>
      <c r="L5" s="116"/>
      <c r="M5" s="117">
        <v>8</v>
      </c>
      <c r="N5" s="107">
        <f>N12*20%</f>
        <v>1600000</v>
      </c>
    </row>
    <row r="6" spans="1:14" s="113" customFormat="1" ht="18" customHeight="1">
      <c r="A6" s="196" t="s">
        <v>18</v>
      </c>
      <c r="B6" s="307">
        <v>14.1</v>
      </c>
      <c r="C6" s="104">
        <v>72</v>
      </c>
      <c r="D6" s="105">
        <v>27</v>
      </c>
      <c r="E6" s="106"/>
      <c r="F6" s="12">
        <v>3</v>
      </c>
      <c r="G6" s="12">
        <v>6</v>
      </c>
      <c r="H6" s="107">
        <f t="shared" si="0"/>
        <v>1250000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1200000</v>
      </c>
    </row>
    <row r="7" spans="1:18" s="113" customFormat="1" ht="18" customHeight="1">
      <c r="A7" s="196" t="s">
        <v>34</v>
      </c>
      <c r="B7" s="307">
        <v>14.6</v>
      </c>
      <c r="C7" s="124">
        <v>72</v>
      </c>
      <c r="D7" s="124">
        <v>32</v>
      </c>
      <c r="E7" s="106"/>
      <c r="F7" s="104">
        <v>4</v>
      </c>
      <c r="G7" s="104">
        <v>5</v>
      </c>
      <c r="H7" s="107">
        <f t="shared" si="0"/>
        <v>1010000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960000</v>
      </c>
      <c r="O7" s="118"/>
      <c r="P7" s="118"/>
      <c r="Q7" s="118"/>
      <c r="R7" s="119"/>
    </row>
    <row r="8" spans="1:14" s="113" customFormat="1" ht="18" customHeight="1">
      <c r="A8" s="196" t="s">
        <v>48</v>
      </c>
      <c r="B8" s="307">
        <v>8.1</v>
      </c>
      <c r="C8" s="105">
        <v>75</v>
      </c>
      <c r="D8" s="105">
        <v>35</v>
      </c>
      <c r="E8" s="106">
        <v>4.99</v>
      </c>
      <c r="F8" s="104">
        <v>5</v>
      </c>
      <c r="G8" s="104">
        <v>4</v>
      </c>
      <c r="H8" s="107">
        <f t="shared" si="0"/>
        <v>1330000</v>
      </c>
      <c r="I8" s="108">
        <f t="shared" si="1"/>
        <v>530000</v>
      </c>
      <c r="J8" s="114" t="s">
        <v>92</v>
      </c>
      <c r="K8" s="115"/>
      <c r="L8" s="116"/>
      <c r="M8" s="117">
        <v>4</v>
      </c>
      <c r="N8" s="107">
        <f>N12*10%</f>
        <v>800000</v>
      </c>
    </row>
    <row r="9" spans="1:14" s="113" customFormat="1" ht="18" customHeight="1">
      <c r="A9" s="196" t="s">
        <v>28</v>
      </c>
      <c r="B9" s="307">
        <v>12.1</v>
      </c>
      <c r="C9" s="104">
        <v>78</v>
      </c>
      <c r="D9" s="105">
        <v>30</v>
      </c>
      <c r="E9" s="106"/>
      <c r="F9" s="121">
        <v>6</v>
      </c>
      <c r="G9" s="121">
        <v>3</v>
      </c>
      <c r="H9" s="107">
        <f t="shared" si="0"/>
        <v>690000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640000</v>
      </c>
    </row>
    <row r="10" spans="1:14" s="113" customFormat="1" ht="18" customHeight="1">
      <c r="A10" s="196" t="s">
        <v>8</v>
      </c>
      <c r="B10" s="307">
        <v>23.5</v>
      </c>
      <c r="C10" s="104">
        <v>79</v>
      </c>
      <c r="D10" s="124">
        <v>40</v>
      </c>
      <c r="E10" s="106"/>
      <c r="F10" s="104">
        <v>7</v>
      </c>
      <c r="G10" s="104">
        <v>2</v>
      </c>
      <c r="H10" s="107">
        <f t="shared" si="0"/>
        <v>530000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480000</v>
      </c>
    </row>
    <row r="11" spans="1:14" s="113" customFormat="1" ht="18" customHeight="1">
      <c r="A11" s="196" t="s">
        <v>50</v>
      </c>
      <c r="B11" s="307">
        <v>23</v>
      </c>
      <c r="C11" s="105">
        <v>80</v>
      </c>
      <c r="D11" s="105">
        <v>35</v>
      </c>
      <c r="E11" s="120"/>
      <c r="F11" s="104">
        <v>8</v>
      </c>
      <c r="G11" s="104">
        <v>1</v>
      </c>
      <c r="H11" s="107">
        <f t="shared" si="0"/>
        <v>370000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320000</v>
      </c>
    </row>
    <row r="12" spans="1:14" s="113" customFormat="1" ht="18" customHeight="1">
      <c r="A12" s="196" t="s">
        <v>36</v>
      </c>
      <c r="B12" s="307">
        <v>20.5</v>
      </c>
      <c r="C12" s="104">
        <v>82</v>
      </c>
      <c r="D12" s="105">
        <v>33</v>
      </c>
      <c r="E12" s="106"/>
      <c r="F12" s="104"/>
      <c r="G12" s="104"/>
      <c r="H12" s="107">
        <f aca="true" t="shared" si="2" ref="H12:H27">I12</f>
        <v>50000</v>
      </c>
      <c r="I12" s="108">
        <f aca="true" t="shared" si="3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8000000</v>
      </c>
    </row>
    <row r="13" spans="1:14" s="113" customFormat="1" ht="18" customHeight="1">
      <c r="A13" s="196"/>
      <c r="B13" s="307"/>
      <c r="C13" s="104"/>
      <c r="D13" s="105"/>
      <c r="E13" s="120"/>
      <c r="F13" s="104"/>
      <c r="G13" s="104"/>
      <c r="H13" s="107">
        <f t="shared" si="2"/>
        <v>0</v>
      </c>
      <c r="I13" s="108">
        <f t="shared" si="3"/>
        <v>0</v>
      </c>
      <c r="J13" s="125" t="s">
        <v>97</v>
      </c>
      <c r="K13" s="126"/>
      <c r="L13" s="127"/>
      <c r="M13" s="128">
        <v>1</v>
      </c>
      <c r="N13" s="129">
        <f>N10</f>
        <v>480000</v>
      </c>
    </row>
    <row r="14" spans="1:14" s="113" customFormat="1" ht="18" customHeight="1">
      <c r="A14" s="196"/>
      <c r="B14" s="307"/>
      <c r="C14" s="104"/>
      <c r="D14" s="105"/>
      <c r="E14" s="120"/>
      <c r="F14" s="104"/>
      <c r="G14" s="104"/>
      <c r="H14" s="107">
        <f t="shared" si="2"/>
        <v>0</v>
      </c>
      <c r="I14" s="108">
        <f t="shared" si="3"/>
        <v>0</v>
      </c>
      <c r="J14" s="130"/>
      <c r="K14" s="126"/>
      <c r="L14" s="126"/>
      <c r="M14" s="131"/>
      <c r="N14" s="132"/>
    </row>
    <row r="15" spans="1:14" s="113" customFormat="1" ht="18" customHeight="1">
      <c r="A15" s="196"/>
      <c r="B15" s="307"/>
      <c r="C15" s="105"/>
      <c r="D15" s="105"/>
      <c r="E15" s="120"/>
      <c r="F15" s="104"/>
      <c r="G15" s="104"/>
      <c r="H15" s="107">
        <f t="shared" si="2"/>
        <v>0</v>
      </c>
      <c r="I15" s="108">
        <f t="shared" si="3"/>
        <v>0</v>
      </c>
      <c r="J15" s="133"/>
      <c r="K15" s="134"/>
      <c r="L15" s="134"/>
      <c r="M15" s="135"/>
      <c r="N15" s="136"/>
    </row>
    <row r="16" spans="1:9" s="113" customFormat="1" ht="18" customHeight="1">
      <c r="A16" s="196"/>
      <c r="B16" s="307"/>
      <c r="C16" s="104"/>
      <c r="D16" s="105"/>
      <c r="E16" s="106"/>
      <c r="F16" s="12"/>
      <c r="G16" s="12"/>
      <c r="H16" s="107">
        <f t="shared" si="2"/>
        <v>0</v>
      </c>
      <c r="I16" s="108">
        <f t="shared" si="3"/>
        <v>0</v>
      </c>
    </row>
    <row r="17" spans="1:13" s="113" customFormat="1" ht="18" customHeight="1">
      <c r="A17" s="196"/>
      <c r="B17" s="307"/>
      <c r="C17" s="105"/>
      <c r="D17" s="105"/>
      <c r="E17" s="106"/>
      <c r="F17" s="12"/>
      <c r="G17" s="12"/>
      <c r="H17" s="107">
        <f t="shared" si="2"/>
        <v>0</v>
      </c>
      <c r="I17" s="108">
        <f t="shared" si="3"/>
        <v>0</v>
      </c>
      <c r="J17" s="118"/>
      <c r="K17" s="118"/>
      <c r="L17" s="118"/>
      <c r="M17" s="119"/>
    </row>
    <row r="18" spans="1:13" s="113" customFormat="1" ht="18" customHeight="1">
      <c r="A18" s="196"/>
      <c r="B18" s="307"/>
      <c r="C18" s="104"/>
      <c r="D18" s="124"/>
      <c r="E18" s="106"/>
      <c r="F18" s="104"/>
      <c r="G18" s="104"/>
      <c r="H18" s="107">
        <f t="shared" si="2"/>
        <v>0</v>
      </c>
      <c r="I18" s="108">
        <f t="shared" si="3"/>
        <v>0</v>
      </c>
      <c r="J18" s="119"/>
      <c r="K18" s="119"/>
      <c r="L18" s="119"/>
      <c r="M18" s="119"/>
    </row>
    <row r="19" spans="1:13" s="113" customFormat="1" ht="18" customHeight="1">
      <c r="A19" s="196"/>
      <c r="B19" s="307"/>
      <c r="C19" s="12"/>
      <c r="D19" s="124"/>
      <c r="E19" s="106"/>
      <c r="F19" s="104"/>
      <c r="G19" s="104"/>
      <c r="H19" s="107">
        <f t="shared" si="2"/>
        <v>0</v>
      </c>
      <c r="I19" s="108">
        <f t="shared" si="3"/>
        <v>0</v>
      </c>
      <c r="J19" s="119"/>
      <c r="K19" s="119"/>
      <c r="L19" s="119"/>
      <c r="M19" s="119"/>
    </row>
    <row r="20" spans="1:9" s="88" customFormat="1" ht="18" customHeight="1">
      <c r="A20" s="196"/>
      <c r="B20" s="307"/>
      <c r="C20" s="104"/>
      <c r="D20" s="105"/>
      <c r="E20" s="120"/>
      <c r="F20" s="12"/>
      <c r="G20" s="12"/>
      <c r="H20" s="107">
        <f t="shared" si="2"/>
        <v>0</v>
      </c>
      <c r="I20" s="108">
        <f t="shared" si="3"/>
        <v>0</v>
      </c>
    </row>
    <row r="21" spans="1:9" s="88" customFormat="1" ht="18" customHeight="1">
      <c r="A21" s="196"/>
      <c r="B21" s="307"/>
      <c r="C21" s="104"/>
      <c r="D21" s="105"/>
      <c r="E21" s="106"/>
      <c r="F21" s="12"/>
      <c r="G21" s="12"/>
      <c r="H21" s="107">
        <f t="shared" si="2"/>
        <v>0</v>
      </c>
      <c r="I21" s="108">
        <f t="shared" si="3"/>
        <v>0</v>
      </c>
    </row>
    <row r="22" spans="1:9" s="88" customFormat="1" ht="18" customHeight="1">
      <c r="A22" s="196"/>
      <c r="B22" s="307"/>
      <c r="C22" s="12"/>
      <c r="D22" s="105"/>
      <c r="E22" s="106"/>
      <c r="F22" s="12"/>
      <c r="G22" s="12"/>
      <c r="H22" s="107">
        <f t="shared" si="2"/>
        <v>0</v>
      </c>
      <c r="I22" s="108">
        <f t="shared" si="3"/>
        <v>0</v>
      </c>
    </row>
    <row r="23" spans="1:9" s="88" customFormat="1" ht="18" customHeight="1">
      <c r="A23" s="196"/>
      <c r="B23" s="307"/>
      <c r="C23" s="105"/>
      <c r="D23" s="124"/>
      <c r="E23" s="106"/>
      <c r="F23" s="12"/>
      <c r="G23" s="12"/>
      <c r="H23" s="107">
        <f t="shared" si="2"/>
        <v>0</v>
      </c>
      <c r="I23" s="108">
        <f t="shared" si="3"/>
        <v>0</v>
      </c>
    </row>
    <row r="24" spans="1:9" s="88" customFormat="1" ht="18" customHeight="1">
      <c r="A24" s="196"/>
      <c r="B24" s="307"/>
      <c r="C24" s="104"/>
      <c r="D24" s="124"/>
      <c r="E24" s="120"/>
      <c r="F24" s="12"/>
      <c r="G24" s="12"/>
      <c r="H24" s="107">
        <f t="shared" si="2"/>
        <v>0</v>
      </c>
      <c r="I24" s="108">
        <f t="shared" si="3"/>
        <v>0</v>
      </c>
    </row>
    <row r="25" spans="1:9" s="88" customFormat="1" ht="18" customHeight="1">
      <c r="A25" s="196"/>
      <c r="B25" s="307"/>
      <c r="C25" s="104"/>
      <c r="D25" s="105"/>
      <c r="E25" s="120"/>
      <c r="F25" s="12"/>
      <c r="G25" s="12"/>
      <c r="H25" s="107">
        <f t="shared" si="2"/>
        <v>0</v>
      </c>
      <c r="I25" s="108">
        <f t="shared" si="3"/>
        <v>0</v>
      </c>
    </row>
    <row r="26" spans="1:9" s="88" customFormat="1" ht="18" customHeight="1">
      <c r="A26" s="196"/>
      <c r="B26" s="307"/>
      <c r="C26" s="105"/>
      <c r="D26" s="124"/>
      <c r="E26" s="120"/>
      <c r="F26" s="104"/>
      <c r="G26" s="104"/>
      <c r="H26" s="107">
        <f t="shared" si="2"/>
        <v>0</v>
      </c>
      <c r="I26" s="108">
        <f t="shared" si="3"/>
        <v>0</v>
      </c>
    </row>
    <row r="27" spans="1:9" s="88" customFormat="1" ht="18" customHeight="1">
      <c r="A27" s="13"/>
      <c r="B27" s="14"/>
      <c r="C27" s="104"/>
      <c r="D27" s="124"/>
      <c r="E27" s="106"/>
      <c r="F27" s="104"/>
      <c r="G27" s="104"/>
      <c r="H27" s="107">
        <f t="shared" si="2"/>
        <v>0</v>
      </c>
      <c r="I27" s="108">
        <f t="shared" si="3"/>
        <v>0</v>
      </c>
    </row>
    <row r="28" spans="1:9" ht="24" customHeight="1">
      <c r="A28" s="1"/>
      <c r="B28" s="3"/>
      <c r="C28" s="138"/>
      <c r="D28" s="139">
        <f>SUM(D4:D27)</f>
        <v>291</v>
      </c>
      <c r="E28" s="138"/>
      <c r="F28" s="3"/>
      <c r="G28" s="140">
        <f>SUM(G4:G27)</f>
        <v>39</v>
      </c>
      <c r="H28" s="140">
        <f>SUM(H4:H27)</f>
        <v>8930000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117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204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34</v>
      </c>
      <c r="B4" s="307">
        <v>14.6</v>
      </c>
      <c r="C4" s="104">
        <v>35</v>
      </c>
      <c r="D4" s="124">
        <v>27</v>
      </c>
      <c r="E4" s="106"/>
      <c r="F4" s="104">
        <v>1</v>
      </c>
      <c r="G4" s="104">
        <v>10</v>
      </c>
      <c r="H4" s="107">
        <f aca="true" t="shared" si="0" ref="H4:H11">N4+I4</f>
        <v>1550000</v>
      </c>
      <c r="I4" s="108">
        <f aca="true" t="shared" si="1" ref="I4:I11"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28</v>
      </c>
      <c r="B5" s="307">
        <v>12</v>
      </c>
      <c r="C5" s="104">
        <v>29</v>
      </c>
      <c r="D5" s="124">
        <v>34</v>
      </c>
      <c r="E5" s="120"/>
      <c r="F5" s="104">
        <v>2</v>
      </c>
      <c r="G5" s="104">
        <v>8</v>
      </c>
      <c r="H5" s="107">
        <f t="shared" si="0"/>
        <v>1250000</v>
      </c>
      <c r="I5" s="108">
        <f t="shared" si="1"/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36</v>
      </c>
      <c r="B6" s="307">
        <v>21.2</v>
      </c>
      <c r="C6" s="104">
        <v>29</v>
      </c>
      <c r="D6" s="105">
        <v>33</v>
      </c>
      <c r="E6" s="120"/>
      <c r="F6" s="12">
        <v>3</v>
      </c>
      <c r="G6" s="12">
        <v>6</v>
      </c>
      <c r="H6" s="107">
        <f t="shared" si="0"/>
        <v>950000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18</v>
      </c>
      <c r="B7" s="307">
        <v>14.9</v>
      </c>
      <c r="C7" s="104">
        <v>28</v>
      </c>
      <c r="D7" s="105">
        <v>34</v>
      </c>
      <c r="E7" s="106"/>
      <c r="F7" s="104">
        <v>4</v>
      </c>
      <c r="G7" s="104">
        <v>5</v>
      </c>
      <c r="H7" s="107">
        <f t="shared" si="0"/>
        <v>770000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44</v>
      </c>
      <c r="B8" s="307">
        <v>13.7</v>
      </c>
      <c r="C8" s="104">
        <v>26</v>
      </c>
      <c r="D8" s="105">
        <v>37</v>
      </c>
      <c r="E8" s="106"/>
      <c r="F8" s="104">
        <v>5</v>
      </c>
      <c r="G8" s="104">
        <v>4</v>
      </c>
      <c r="H8" s="107">
        <f t="shared" si="0"/>
        <v>650000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42</v>
      </c>
      <c r="B9" s="307">
        <v>17.9</v>
      </c>
      <c r="C9" s="105">
        <v>26</v>
      </c>
      <c r="D9" s="105">
        <v>37</v>
      </c>
      <c r="E9" s="120">
        <v>3.27</v>
      </c>
      <c r="F9" s="121">
        <v>6</v>
      </c>
      <c r="G9" s="121">
        <v>3</v>
      </c>
      <c r="H9" s="107">
        <f t="shared" si="0"/>
        <v>890000</v>
      </c>
      <c r="I9" s="108">
        <f t="shared" si="1"/>
        <v>410000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24</v>
      </c>
      <c r="B10" s="307">
        <v>15.3</v>
      </c>
      <c r="C10" s="105">
        <v>23</v>
      </c>
      <c r="D10" s="124">
        <v>36</v>
      </c>
      <c r="E10" s="106"/>
      <c r="F10" s="104">
        <v>7</v>
      </c>
      <c r="G10" s="104">
        <v>2</v>
      </c>
      <c r="H10" s="107">
        <f t="shared" si="0"/>
        <v>410000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38</v>
      </c>
      <c r="B11" s="307">
        <v>14.5</v>
      </c>
      <c r="C11" s="105">
        <v>22</v>
      </c>
      <c r="D11" s="105">
        <v>37</v>
      </c>
      <c r="E11" s="120"/>
      <c r="F11" s="104">
        <v>8</v>
      </c>
      <c r="G11" s="104">
        <v>1</v>
      </c>
      <c r="H11" s="107">
        <f t="shared" si="0"/>
        <v>290000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10</v>
      </c>
      <c r="B12" s="307">
        <v>15.4</v>
      </c>
      <c r="C12" s="105">
        <v>21</v>
      </c>
      <c r="D12" s="124">
        <v>38</v>
      </c>
      <c r="E12" s="120"/>
      <c r="F12" s="104"/>
      <c r="G12" s="104"/>
      <c r="H12" s="107">
        <f aca="true" t="shared" si="2" ref="H12:H27">I12</f>
        <v>50000</v>
      </c>
      <c r="I12" s="108">
        <f aca="true" t="shared" si="3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26</v>
      </c>
      <c r="B13" s="307">
        <v>21.9</v>
      </c>
      <c r="C13" s="104">
        <v>21</v>
      </c>
      <c r="D13" s="105">
        <v>38</v>
      </c>
      <c r="E13" s="106"/>
      <c r="F13" s="104"/>
      <c r="G13" s="104"/>
      <c r="H13" s="107">
        <f t="shared" si="2"/>
        <v>50000</v>
      </c>
      <c r="I13" s="108">
        <f t="shared" si="3"/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/>
      <c r="B14" s="307"/>
      <c r="C14" s="104"/>
      <c r="D14" s="105"/>
      <c r="E14" s="106"/>
      <c r="F14" s="104"/>
      <c r="G14" s="104"/>
      <c r="H14" s="107">
        <f t="shared" si="2"/>
        <v>0</v>
      </c>
      <c r="I14" s="108">
        <f t="shared" si="3"/>
        <v>0</v>
      </c>
      <c r="J14" s="130"/>
      <c r="K14" s="126"/>
      <c r="L14" s="126"/>
      <c r="M14" s="131"/>
      <c r="N14" s="132"/>
    </row>
    <row r="15" spans="1:14" s="113" customFormat="1" ht="18" customHeight="1">
      <c r="A15" s="196"/>
      <c r="B15" s="307"/>
      <c r="C15" s="104"/>
      <c r="D15" s="124"/>
      <c r="E15" s="120"/>
      <c r="F15" s="104"/>
      <c r="G15" s="104"/>
      <c r="H15" s="107">
        <f t="shared" si="2"/>
        <v>0</v>
      </c>
      <c r="I15" s="108">
        <f t="shared" si="3"/>
        <v>0</v>
      </c>
      <c r="J15" s="133"/>
      <c r="K15" s="134"/>
      <c r="L15" s="134"/>
      <c r="M15" s="135"/>
      <c r="N15" s="136"/>
    </row>
    <row r="16" spans="1:9" s="113" customFormat="1" ht="18" customHeight="1">
      <c r="A16" s="196"/>
      <c r="B16" s="307"/>
      <c r="C16" s="104"/>
      <c r="D16" s="124"/>
      <c r="E16" s="120"/>
      <c r="F16" s="12"/>
      <c r="G16" s="12"/>
      <c r="H16" s="107">
        <f t="shared" si="2"/>
        <v>0</v>
      </c>
      <c r="I16" s="108">
        <f t="shared" si="3"/>
        <v>0</v>
      </c>
    </row>
    <row r="17" spans="1:18" s="113" customFormat="1" ht="18" customHeight="1">
      <c r="A17" s="196"/>
      <c r="B17" s="307"/>
      <c r="C17" s="104"/>
      <c r="D17" s="105"/>
      <c r="E17" s="106"/>
      <c r="F17" s="12"/>
      <c r="G17" s="12"/>
      <c r="H17" s="107">
        <f t="shared" si="2"/>
        <v>0</v>
      </c>
      <c r="I17" s="108">
        <f t="shared" si="3"/>
        <v>0</v>
      </c>
      <c r="O17" s="118"/>
      <c r="P17" s="118"/>
      <c r="Q17" s="118"/>
      <c r="R17" s="119"/>
    </row>
    <row r="18" spans="1:12" s="113" customFormat="1" ht="18" customHeight="1">
      <c r="A18" s="196"/>
      <c r="B18" s="307"/>
      <c r="C18" s="104"/>
      <c r="D18" s="124"/>
      <c r="E18" s="106"/>
      <c r="F18" s="104"/>
      <c r="G18" s="104"/>
      <c r="H18" s="107">
        <f t="shared" si="2"/>
        <v>0</v>
      </c>
      <c r="I18" s="108">
        <f t="shared" si="3"/>
        <v>0</v>
      </c>
      <c r="J18" s="119"/>
      <c r="K18" s="119"/>
      <c r="L18" s="119"/>
    </row>
    <row r="19" spans="1:12" s="113" customFormat="1" ht="18" customHeight="1">
      <c r="A19" s="196"/>
      <c r="B19" s="307"/>
      <c r="C19" s="12"/>
      <c r="D19" s="105"/>
      <c r="E19" s="106"/>
      <c r="F19" s="104"/>
      <c r="G19" s="104"/>
      <c r="H19" s="107">
        <f t="shared" si="2"/>
        <v>0</v>
      </c>
      <c r="I19" s="108">
        <f t="shared" si="3"/>
        <v>0</v>
      </c>
      <c r="J19" s="119"/>
      <c r="K19" s="119"/>
      <c r="L19" s="119"/>
    </row>
    <row r="20" spans="1:9" s="88" customFormat="1" ht="18" customHeight="1">
      <c r="A20" s="196"/>
      <c r="B20" s="307"/>
      <c r="C20" s="105"/>
      <c r="D20" s="105"/>
      <c r="E20" s="120"/>
      <c r="F20" s="12"/>
      <c r="G20" s="12"/>
      <c r="H20" s="107">
        <f t="shared" si="2"/>
        <v>0</v>
      </c>
      <c r="I20" s="108">
        <f t="shared" si="3"/>
        <v>0</v>
      </c>
    </row>
    <row r="21" spans="1:9" s="88" customFormat="1" ht="18" customHeight="1">
      <c r="A21" s="196"/>
      <c r="B21" s="307"/>
      <c r="C21" s="105"/>
      <c r="D21" s="105"/>
      <c r="E21" s="106"/>
      <c r="F21" s="12"/>
      <c r="G21" s="12"/>
      <c r="H21" s="107">
        <f t="shared" si="2"/>
        <v>0</v>
      </c>
      <c r="I21" s="108">
        <f t="shared" si="3"/>
        <v>0</v>
      </c>
    </row>
    <row r="22" spans="1:9" s="88" customFormat="1" ht="18" customHeight="1">
      <c r="A22" s="196"/>
      <c r="B22" s="240"/>
      <c r="C22" s="104"/>
      <c r="D22" s="105"/>
      <c r="E22" s="106"/>
      <c r="F22" s="12"/>
      <c r="G22" s="12"/>
      <c r="H22" s="107">
        <f t="shared" si="2"/>
        <v>0</v>
      </c>
      <c r="I22" s="108">
        <f t="shared" si="3"/>
        <v>0</v>
      </c>
    </row>
    <row r="23" spans="1:9" s="88" customFormat="1" ht="18" customHeight="1">
      <c r="A23" s="196"/>
      <c r="B23" s="240"/>
      <c r="C23" s="124"/>
      <c r="D23" s="105"/>
      <c r="E23" s="106"/>
      <c r="F23" s="12"/>
      <c r="G23" s="12"/>
      <c r="H23" s="107">
        <f t="shared" si="2"/>
        <v>0</v>
      </c>
      <c r="I23" s="108">
        <f t="shared" si="3"/>
        <v>0</v>
      </c>
    </row>
    <row r="24" spans="1:9" s="88" customFormat="1" ht="18" customHeight="1">
      <c r="A24" s="196"/>
      <c r="B24" s="240"/>
      <c r="C24" s="104"/>
      <c r="D24" s="105"/>
      <c r="E24" s="106"/>
      <c r="F24" s="12"/>
      <c r="G24" s="12"/>
      <c r="H24" s="107">
        <f t="shared" si="2"/>
        <v>0</v>
      </c>
      <c r="I24" s="108">
        <f t="shared" si="3"/>
        <v>0</v>
      </c>
    </row>
    <row r="25" spans="1:9" s="88" customFormat="1" ht="18" customHeight="1">
      <c r="A25" s="196"/>
      <c r="B25" s="240"/>
      <c r="C25" s="12"/>
      <c r="D25" s="124"/>
      <c r="E25" s="106"/>
      <c r="F25" s="12"/>
      <c r="G25" s="12"/>
      <c r="H25" s="107">
        <f t="shared" si="2"/>
        <v>0</v>
      </c>
      <c r="I25" s="108">
        <f t="shared" si="3"/>
        <v>0</v>
      </c>
    </row>
    <row r="26" spans="1:9" s="88" customFormat="1" ht="18" customHeight="1">
      <c r="A26" s="196"/>
      <c r="B26" s="240"/>
      <c r="C26" s="104"/>
      <c r="D26" s="105"/>
      <c r="E26" s="106"/>
      <c r="F26" s="104"/>
      <c r="G26" s="104"/>
      <c r="H26" s="107">
        <f t="shared" si="2"/>
        <v>0</v>
      </c>
      <c r="I26" s="108">
        <f t="shared" si="3"/>
        <v>0</v>
      </c>
    </row>
    <row r="27" spans="1:9" s="88" customFormat="1" ht="18" customHeight="1">
      <c r="A27" s="13"/>
      <c r="B27" s="14"/>
      <c r="C27" s="104"/>
      <c r="D27" s="105"/>
      <c r="E27" s="106"/>
      <c r="F27" s="104"/>
      <c r="G27" s="104"/>
      <c r="H27" s="107">
        <f t="shared" si="2"/>
        <v>0</v>
      </c>
      <c r="I27" s="108">
        <f t="shared" si="3"/>
        <v>0</v>
      </c>
    </row>
    <row r="28" spans="1:9" ht="24" customHeight="1">
      <c r="A28" s="1"/>
      <c r="B28" s="3"/>
      <c r="C28" s="138"/>
      <c r="D28" s="139">
        <f>SUM(D4:D27)</f>
        <v>351</v>
      </c>
      <c r="E28" s="138"/>
      <c r="F28" s="3"/>
      <c r="G28" s="140">
        <f>SUM(G4:G27)</f>
        <v>39</v>
      </c>
      <c r="H28" s="140">
        <f>SUM(H4:H27)</f>
        <v>6860000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145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203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85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38</v>
      </c>
      <c r="B4" s="307">
        <v>14.8</v>
      </c>
      <c r="C4" s="104">
        <v>37</v>
      </c>
      <c r="D4" s="105">
        <v>33</v>
      </c>
      <c r="E4" s="106">
        <v>2.87</v>
      </c>
      <c r="F4" s="104">
        <v>1</v>
      </c>
      <c r="G4" s="104">
        <v>10</v>
      </c>
      <c r="H4" s="107">
        <f aca="true" t="shared" si="0" ref="H4:H11">N4+I4</f>
        <v>1910000</v>
      </c>
      <c r="I4" s="108">
        <f aca="true" t="shared" si="1" ref="I4:I11">IF(E4&gt;0,$N$13,0)+IF(C4&gt;0,50000,0)+IF(C12&lt;0,50000,0)</f>
        <v>410000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36</v>
      </c>
      <c r="B5" s="307">
        <v>21.2</v>
      </c>
      <c r="C5" s="105">
        <v>36</v>
      </c>
      <c r="D5" s="105">
        <v>32</v>
      </c>
      <c r="E5" s="120"/>
      <c r="F5" s="104">
        <v>2</v>
      </c>
      <c r="G5" s="104">
        <v>8</v>
      </c>
      <c r="H5" s="107">
        <f t="shared" si="0"/>
        <v>1250000</v>
      </c>
      <c r="I5" s="108">
        <f t="shared" si="1"/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52</v>
      </c>
      <c r="B6" s="307">
        <v>13.9</v>
      </c>
      <c r="C6" s="104">
        <v>35</v>
      </c>
      <c r="D6" s="105">
        <v>28</v>
      </c>
      <c r="E6" s="106"/>
      <c r="F6" s="12">
        <v>3</v>
      </c>
      <c r="G6" s="12">
        <v>6</v>
      </c>
      <c r="H6" s="107">
        <f t="shared" si="0"/>
        <v>950000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42</v>
      </c>
      <c r="B7" s="307">
        <v>17.9</v>
      </c>
      <c r="C7" s="104">
        <v>34</v>
      </c>
      <c r="D7" s="124">
        <v>32</v>
      </c>
      <c r="E7" s="120"/>
      <c r="F7" s="104">
        <v>4</v>
      </c>
      <c r="G7" s="104">
        <v>5</v>
      </c>
      <c r="H7" s="107">
        <f t="shared" si="0"/>
        <v>770000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44</v>
      </c>
      <c r="B8" s="307">
        <v>13.7</v>
      </c>
      <c r="C8" s="105">
        <v>34</v>
      </c>
      <c r="D8" s="124">
        <v>39</v>
      </c>
      <c r="E8" s="444">
        <v>13.54</v>
      </c>
      <c r="F8" s="104">
        <v>5</v>
      </c>
      <c r="G8" s="104">
        <v>4</v>
      </c>
      <c r="H8" s="107">
        <v>750000</v>
      </c>
      <c r="I8" s="108">
        <f t="shared" si="1"/>
        <v>410000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30</v>
      </c>
      <c r="B9" s="307">
        <v>12.5</v>
      </c>
      <c r="C9" s="104">
        <v>33</v>
      </c>
      <c r="D9" s="105">
        <v>37</v>
      </c>
      <c r="E9" s="106"/>
      <c r="F9" s="121">
        <v>6</v>
      </c>
      <c r="G9" s="121">
        <v>3</v>
      </c>
      <c r="H9" s="107">
        <f t="shared" si="0"/>
        <v>530000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20</v>
      </c>
      <c r="B10" s="307">
        <v>18.3</v>
      </c>
      <c r="C10" s="124">
        <v>31</v>
      </c>
      <c r="D10" s="105">
        <v>37</v>
      </c>
      <c r="E10" s="106"/>
      <c r="F10" s="104">
        <v>7</v>
      </c>
      <c r="G10" s="104">
        <v>2</v>
      </c>
      <c r="H10" s="107">
        <f t="shared" si="0"/>
        <v>410000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26</v>
      </c>
      <c r="B11" s="307">
        <v>21.8</v>
      </c>
      <c r="C11" s="104">
        <v>31</v>
      </c>
      <c r="D11" s="105">
        <v>36</v>
      </c>
      <c r="E11" s="106"/>
      <c r="F11" s="104">
        <v>8</v>
      </c>
      <c r="G11" s="104">
        <v>1</v>
      </c>
      <c r="H11" s="107">
        <f t="shared" si="0"/>
        <v>290000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18</v>
      </c>
      <c r="B12" s="307">
        <v>14.8</v>
      </c>
      <c r="C12" s="105">
        <v>29</v>
      </c>
      <c r="D12" s="124">
        <v>35</v>
      </c>
      <c r="E12" s="106"/>
      <c r="F12" s="104"/>
      <c r="G12" s="104"/>
      <c r="H12" s="107">
        <f aca="true" t="shared" si="2" ref="H12:H27">I12</f>
        <v>50000</v>
      </c>
      <c r="I12" s="108">
        <f aca="true" t="shared" si="3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22</v>
      </c>
      <c r="B13" s="307">
        <v>15.3</v>
      </c>
      <c r="C13" s="104">
        <v>29</v>
      </c>
      <c r="D13" s="124">
        <v>33</v>
      </c>
      <c r="E13" s="106"/>
      <c r="F13" s="104"/>
      <c r="G13" s="104"/>
      <c r="H13" s="107">
        <f t="shared" si="2"/>
        <v>50000</v>
      </c>
      <c r="I13" s="108">
        <f t="shared" si="3"/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34</v>
      </c>
      <c r="B14" s="307">
        <v>14.5</v>
      </c>
      <c r="C14" s="105">
        <v>29</v>
      </c>
      <c r="D14" s="105">
        <v>37</v>
      </c>
      <c r="E14" s="106">
        <v>10.51</v>
      </c>
      <c r="F14" s="104"/>
      <c r="G14" s="104"/>
      <c r="H14" s="107">
        <v>150000</v>
      </c>
      <c r="I14" s="108">
        <f t="shared" si="3"/>
        <v>410000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50</v>
      </c>
      <c r="B15" s="307">
        <v>22.9</v>
      </c>
      <c r="C15" s="104">
        <v>26</v>
      </c>
      <c r="D15" s="105">
        <v>39</v>
      </c>
      <c r="E15" s="106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14</v>
      </c>
      <c r="B16" s="307">
        <v>10.5</v>
      </c>
      <c r="C16" s="104">
        <v>24</v>
      </c>
      <c r="D16" s="105">
        <v>38</v>
      </c>
      <c r="E16" s="120"/>
      <c r="F16" s="12"/>
      <c r="G16" s="12"/>
      <c r="H16" s="107">
        <f t="shared" si="2"/>
        <v>50000</v>
      </c>
      <c r="I16" s="108">
        <f t="shared" si="3"/>
        <v>50000</v>
      </c>
    </row>
    <row r="17" spans="1:18" s="113" customFormat="1" ht="18" customHeight="1">
      <c r="A17" s="196" t="s">
        <v>10</v>
      </c>
      <c r="B17" s="307">
        <v>15.3</v>
      </c>
      <c r="C17" s="12">
        <v>23</v>
      </c>
      <c r="D17" s="105">
        <v>38</v>
      </c>
      <c r="E17" s="120"/>
      <c r="F17" s="12"/>
      <c r="G17" s="12"/>
      <c r="H17" s="107">
        <f t="shared" si="2"/>
        <v>50000</v>
      </c>
      <c r="I17" s="108">
        <f t="shared" si="3"/>
        <v>50000</v>
      </c>
      <c r="O17" s="118"/>
      <c r="P17" s="118"/>
      <c r="Q17" s="118"/>
      <c r="R17" s="119"/>
    </row>
    <row r="18" spans="1:13" s="113" customFormat="1" ht="18" customHeight="1">
      <c r="A18" s="196" t="s">
        <v>28</v>
      </c>
      <c r="B18" s="307">
        <v>11.9</v>
      </c>
      <c r="C18" s="104">
        <v>22</v>
      </c>
      <c r="D18" s="124">
        <v>37</v>
      </c>
      <c r="E18" s="106"/>
      <c r="F18" s="104"/>
      <c r="G18" s="104"/>
      <c r="H18" s="107">
        <f t="shared" si="2"/>
        <v>50000</v>
      </c>
      <c r="I18" s="108">
        <f t="shared" si="3"/>
        <v>50000</v>
      </c>
      <c r="J18" s="119"/>
      <c r="K18" s="119"/>
      <c r="L18" s="119"/>
      <c r="M18" s="119"/>
    </row>
    <row r="19" spans="1:13" s="113" customFormat="1" ht="18" customHeight="1">
      <c r="A19" s="196"/>
      <c r="B19" s="307"/>
      <c r="C19" s="104"/>
      <c r="D19" s="124"/>
      <c r="E19" s="106"/>
      <c r="F19" s="104"/>
      <c r="G19" s="104"/>
      <c r="H19" s="107">
        <f t="shared" si="2"/>
        <v>0</v>
      </c>
      <c r="I19" s="108">
        <f t="shared" si="3"/>
        <v>0</v>
      </c>
      <c r="J19" s="119"/>
      <c r="K19" s="119"/>
      <c r="L19" s="119"/>
      <c r="M19" s="119"/>
    </row>
    <row r="20" spans="1:9" s="88" customFormat="1" ht="18" customHeight="1">
      <c r="A20" s="196"/>
      <c r="B20" s="307"/>
      <c r="C20" s="12"/>
      <c r="D20" s="124"/>
      <c r="E20" s="120"/>
      <c r="F20" s="12"/>
      <c r="G20" s="12"/>
      <c r="H20" s="107">
        <f t="shared" si="2"/>
        <v>0</v>
      </c>
      <c r="I20" s="108">
        <f t="shared" si="3"/>
        <v>0</v>
      </c>
    </row>
    <row r="21" spans="1:9" s="88" customFormat="1" ht="18" customHeight="1">
      <c r="A21" s="196"/>
      <c r="B21" s="307"/>
      <c r="C21" s="105"/>
      <c r="D21" s="105"/>
      <c r="E21" s="106"/>
      <c r="F21" s="12"/>
      <c r="G21" s="12"/>
      <c r="H21" s="107">
        <f t="shared" si="2"/>
        <v>0</v>
      </c>
      <c r="I21" s="108">
        <f t="shared" si="3"/>
        <v>0</v>
      </c>
    </row>
    <row r="22" spans="1:9" s="88" customFormat="1" ht="18" customHeight="1">
      <c r="A22" s="196"/>
      <c r="B22" s="307"/>
      <c r="C22" s="104"/>
      <c r="D22" s="105"/>
      <c r="E22" s="106"/>
      <c r="F22" s="12"/>
      <c r="G22" s="12"/>
      <c r="H22" s="107">
        <f t="shared" si="2"/>
        <v>0</v>
      </c>
      <c r="I22" s="108">
        <f t="shared" si="3"/>
        <v>0</v>
      </c>
    </row>
    <row r="23" spans="1:9" s="88" customFormat="1" ht="18" customHeight="1">
      <c r="A23" s="196"/>
      <c r="B23" s="307"/>
      <c r="C23" s="104"/>
      <c r="D23" s="105"/>
      <c r="E23" s="106"/>
      <c r="F23" s="12"/>
      <c r="G23" s="12"/>
      <c r="H23" s="107">
        <f t="shared" si="2"/>
        <v>0</v>
      </c>
      <c r="I23" s="108">
        <f t="shared" si="3"/>
        <v>0</v>
      </c>
    </row>
    <row r="24" spans="1:9" s="88" customFormat="1" ht="18" customHeight="1">
      <c r="A24" s="196"/>
      <c r="B24" s="307"/>
      <c r="C24" s="105"/>
      <c r="D24" s="105"/>
      <c r="E24" s="106"/>
      <c r="F24" s="12"/>
      <c r="G24" s="12"/>
      <c r="H24" s="107">
        <f t="shared" si="2"/>
        <v>0</v>
      </c>
      <c r="I24" s="108">
        <f t="shared" si="3"/>
        <v>0</v>
      </c>
    </row>
    <row r="25" spans="1:9" s="88" customFormat="1" ht="18" customHeight="1">
      <c r="A25" s="196"/>
      <c r="B25" s="307"/>
      <c r="C25" s="104"/>
      <c r="D25" s="105"/>
      <c r="E25" s="120"/>
      <c r="F25" s="12"/>
      <c r="G25" s="12"/>
      <c r="H25" s="107">
        <f t="shared" si="2"/>
        <v>0</v>
      </c>
      <c r="I25" s="108">
        <f t="shared" si="3"/>
        <v>0</v>
      </c>
    </row>
    <row r="26" spans="1:9" s="88" customFormat="1" ht="18" customHeight="1">
      <c r="A26" s="196"/>
      <c r="B26" s="307"/>
      <c r="C26" s="104"/>
      <c r="D26" s="105"/>
      <c r="E26" s="106"/>
      <c r="F26" s="104"/>
      <c r="G26" s="104"/>
      <c r="H26" s="107">
        <f t="shared" si="2"/>
        <v>0</v>
      </c>
      <c r="I26" s="108">
        <f t="shared" si="3"/>
        <v>0</v>
      </c>
    </row>
    <row r="27" spans="1:9" s="88" customFormat="1" ht="18" customHeight="1">
      <c r="A27" s="196"/>
      <c r="B27" s="307"/>
      <c r="C27" s="104"/>
      <c r="D27" s="124"/>
      <c r="E27" s="120"/>
      <c r="F27" s="104"/>
      <c r="G27" s="104"/>
      <c r="H27" s="107">
        <f t="shared" si="2"/>
        <v>0</v>
      </c>
      <c r="I27" s="108">
        <f t="shared" si="3"/>
        <v>0</v>
      </c>
    </row>
    <row r="28" spans="1:9" ht="24" customHeight="1">
      <c r="A28" s="1"/>
      <c r="B28" s="3"/>
      <c r="C28" s="138"/>
      <c r="D28" s="139">
        <f>SUM(D4:D27)</f>
        <v>531</v>
      </c>
      <c r="E28" s="138"/>
      <c r="F28" s="3"/>
      <c r="G28" s="140">
        <f>SUM(G4:G27)</f>
        <v>39</v>
      </c>
      <c r="H28" s="140">
        <f>SUM(H4:H27)</f>
        <v>7310000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118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290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49</v>
      </c>
      <c r="B4" s="496">
        <v>31.3</v>
      </c>
      <c r="C4" s="497">
        <v>61</v>
      </c>
      <c r="D4" s="105"/>
      <c r="E4" s="106"/>
      <c r="F4" s="491">
        <v>1</v>
      </c>
      <c r="G4" s="104">
        <v>10</v>
      </c>
      <c r="H4" s="107">
        <v>1250000</v>
      </c>
      <c r="I4" s="108">
        <f aca="true" t="shared" si="0" ref="I4:I11"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9</v>
      </c>
      <c r="B5" s="496"/>
      <c r="C5" s="497"/>
      <c r="D5" s="105"/>
      <c r="E5" s="106"/>
      <c r="F5" s="495"/>
      <c r="G5" s="104">
        <v>10</v>
      </c>
      <c r="H5" s="107">
        <v>1250000</v>
      </c>
      <c r="I5" s="108">
        <f t="shared" si="0"/>
        <v>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19</v>
      </c>
      <c r="B6" s="496">
        <v>29.6</v>
      </c>
      <c r="C6" s="497">
        <v>66</v>
      </c>
      <c r="D6" s="124"/>
      <c r="E6" s="120"/>
      <c r="F6" s="498">
        <v>2</v>
      </c>
      <c r="G6" s="12">
        <v>6</v>
      </c>
      <c r="H6" s="107">
        <v>950000</v>
      </c>
      <c r="I6" s="108">
        <f t="shared" si="0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39</v>
      </c>
      <c r="B7" s="496"/>
      <c r="C7" s="497"/>
      <c r="D7" s="105"/>
      <c r="E7" s="120"/>
      <c r="F7" s="499"/>
      <c r="G7" s="104">
        <v>6</v>
      </c>
      <c r="H7" s="107">
        <v>950000</v>
      </c>
      <c r="I7" s="108">
        <f t="shared" si="0"/>
        <v>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33</v>
      </c>
      <c r="B8" s="496">
        <v>32.1</v>
      </c>
      <c r="C8" s="497">
        <v>66</v>
      </c>
      <c r="D8" s="105"/>
      <c r="E8" s="106"/>
      <c r="F8" s="491">
        <v>3</v>
      </c>
      <c r="G8" s="104">
        <v>4</v>
      </c>
      <c r="H8" s="107">
        <v>650000</v>
      </c>
      <c r="I8" s="108">
        <f t="shared" si="0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13</v>
      </c>
      <c r="B9" s="496"/>
      <c r="C9" s="497"/>
      <c r="D9" s="124"/>
      <c r="E9" s="106"/>
      <c r="F9" s="495"/>
      <c r="G9" s="121">
        <v>4</v>
      </c>
      <c r="H9" s="107">
        <v>650000</v>
      </c>
      <c r="I9" s="108">
        <f t="shared" si="0"/>
        <v>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53</v>
      </c>
      <c r="B10" s="496">
        <v>31.6</v>
      </c>
      <c r="C10" s="497">
        <v>67</v>
      </c>
      <c r="D10" s="124"/>
      <c r="E10" s="106"/>
      <c r="F10" s="491">
        <v>4</v>
      </c>
      <c r="G10" s="104">
        <v>2</v>
      </c>
      <c r="H10" s="107">
        <v>350000</v>
      </c>
      <c r="I10" s="108">
        <f t="shared" si="0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43</v>
      </c>
      <c r="B11" s="496"/>
      <c r="C11" s="497"/>
      <c r="D11" s="124"/>
      <c r="E11" s="120"/>
      <c r="F11" s="495"/>
      <c r="G11" s="104">
        <v>2</v>
      </c>
      <c r="H11" s="107">
        <v>350000</v>
      </c>
      <c r="I11" s="108">
        <f t="shared" si="0"/>
        <v>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288</v>
      </c>
      <c r="B12" s="496">
        <v>31</v>
      </c>
      <c r="C12" s="497">
        <v>68</v>
      </c>
      <c r="D12" s="124"/>
      <c r="E12" s="120"/>
      <c r="F12" s="104"/>
      <c r="G12" s="104"/>
      <c r="H12" s="107" t="s">
        <v>103</v>
      </c>
      <c r="I12" s="108">
        <f aca="true" t="shared" si="1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27</v>
      </c>
      <c r="B13" s="496"/>
      <c r="C13" s="497"/>
      <c r="D13" s="105"/>
      <c r="E13" s="120"/>
      <c r="F13" s="104"/>
      <c r="G13" s="104"/>
      <c r="H13" s="107">
        <v>50000</v>
      </c>
      <c r="I13" s="108">
        <f t="shared" si="1"/>
        <v>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35</v>
      </c>
      <c r="B14" s="496">
        <v>29.7</v>
      </c>
      <c r="C14" s="497">
        <v>71</v>
      </c>
      <c r="D14" s="124"/>
      <c r="E14" s="106"/>
      <c r="F14" s="104"/>
      <c r="G14" s="104"/>
      <c r="H14" s="107">
        <f aca="true" t="shared" si="2" ref="H14:H27">I14</f>
        <v>50000</v>
      </c>
      <c r="I14" s="108">
        <f t="shared" si="1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11</v>
      </c>
      <c r="B15" s="496"/>
      <c r="C15" s="497"/>
      <c r="D15" s="105"/>
      <c r="E15" s="106"/>
      <c r="F15" s="104"/>
      <c r="G15" s="104"/>
      <c r="H15" s="107">
        <v>50000</v>
      </c>
      <c r="I15" s="108">
        <f t="shared" si="1"/>
        <v>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31</v>
      </c>
      <c r="B16" s="496">
        <v>31.4</v>
      </c>
      <c r="C16" s="497">
        <v>71</v>
      </c>
      <c r="D16" s="105"/>
      <c r="E16" s="106"/>
      <c r="F16" s="12"/>
      <c r="G16" s="12"/>
      <c r="H16" s="107">
        <v>50000</v>
      </c>
      <c r="I16" s="108">
        <f t="shared" si="1"/>
        <v>50000</v>
      </c>
    </row>
    <row r="17" spans="1:18" s="113" customFormat="1" ht="18" customHeight="1">
      <c r="A17" s="196" t="s">
        <v>47</v>
      </c>
      <c r="B17" s="496"/>
      <c r="C17" s="497"/>
      <c r="D17" s="105"/>
      <c r="E17" s="106"/>
      <c r="F17" s="12"/>
      <c r="G17" s="12"/>
      <c r="H17" s="107">
        <v>50000</v>
      </c>
      <c r="I17" s="108">
        <f t="shared" si="1"/>
        <v>0</v>
      </c>
      <c r="O17" s="118"/>
      <c r="P17" s="118"/>
      <c r="Q17" s="118"/>
      <c r="R17" s="119"/>
    </row>
    <row r="18" spans="1:18" s="113" customFormat="1" ht="18" customHeight="1">
      <c r="A18" s="196" t="s">
        <v>15</v>
      </c>
      <c r="B18" s="496">
        <v>31.5</v>
      </c>
      <c r="C18" s="497">
        <v>71</v>
      </c>
      <c r="D18" s="105"/>
      <c r="E18" s="120" t="s">
        <v>291</v>
      </c>
      <c r="F18" s="104"/>
      <c r="G18" s="104"/>
      <c r="H18" s="107">
        <f t="shared" si="2"/>
        <v>410000</v>
      </c>
      <c r="I18" s="108">
        <f t="shared" si="1"/>
        <v>410000</v>
      </c>
      <c r="J18" s="12" t="s">
        <v>104</v>
      </c>
      <c r="K18" s="12" t="s">
        <v>85</v>
      </c>
      <c r="L18" s="12"/>
      <c r="M18" s="12" t="s">
        <v>105</v>
      </c>
      <c r="N18" s="12"/>
      <c r="O18" s="119"/>
      <c r="P18" s="119"/>
      <c r="Q18" s="119"/>
      <c r="R18" s="119"/>
    </row>
    <row r="19" spans="1:18" s="113" customFormat="1" ht="18" customHeight="1">
      <c r="A19" s="196" t="s">
        <v>37</v>
      </c>
      <c r="B19" s="496"/>
      <c r="C19" s="497"/>
      <c r="D19" s="105"/>
      <c r="E19" s="106"/>
      <c r="F19" s="104"/>
      <c r="G19" s="104"/>
      <c r="H19" s="107">
        <v>50000</v>
      </c>
      <c r="I19" s="108">
        <f t="shared" si="1"/>
        <v>0</v>
      </c>
      <c r="J19" s="12">
        <v>1</v>
      </c>
      <c r="K19" s="12" t="s">
        <v>106</v>
      </c>
      <c r="L19" s="12">
        <v>10</v>
      </c>
      <c r="M19" s="107" t="s">
        <v>106</v>
      </c>
      <c r="N19" s="107">
        <f>N12*20%</f>
        <v>1200000</v>
      </c>
      <c r="O19" s="119"/>
      <c r="P19" s="119"/>
      <c r="Q19" s="119"/>
      <c r="R19" s="119"/>
    </row>
    <row r="20" spans="1:14" s="88" customFormat="1" ht="18" customHeight="1">
      <c r="A20" s="196" t="s">
        <v>45</v>
      </c>
      <c r="B20" s="496">
        <v>31.9</v>
      </c>
      <c r="C20" s="497">
        <v>72</v>
      </c>
      <c r="D20" s="105"/>
      <c r="E20" s="106"/>
      <c r="F20" s="12"/>
      <c r="G20" s="12"/>
      <c r="H20" s="107">
        <v>50000</v>
      </c>
      <c r="I20" s="108">
        <f t="shared" si="1"/>
        <v>50000</v>
      </c>
      <c r="J20" s="12">
        <v>2</v>
      </c>
      <c r="K20" s="12" t="s">
        <v>106</v>
      </c>
      <c r="L20" s="12">
        <v>6</v>
      </c>
      <c r="M20" s="107" t="s">
        <v>106</v>
      </c>
      <c r="N20" s="107">
        <f>N12*15%</f>
        <v>900000</v>
      </c>
    </row>
    <row r="21" spans="1:14" s="88" customFormat="1" ht="18" customHeight="1">
      <c r="A21" s="196" t="s">
        <v>21</v>
      </c>
      <c r="B21" s="496"/>
      <c r="C21" s="497"/>
      <c r="D21" s="105"/>
      <c r="E21" s="106"/>
      <c r="F21" s="12"/>
      <c r="G21" s="12"/>
      <c r="H21" s="107">
        <v>50000</v>
      </c>
      <c r="I21" s="108">
        <f t="shared" si="1"/>
        <v>0</v>
      </c>
      <c r="J21" s="12">
        <v>3</v>
      </c>
      <c r="K21" s="12" t="s">
        <v>106</v>
      </c>
      <c r="L21" s="12">
        <v>4</v>
      </c>
      <c r="M21" s="107" t="s">
        <v>106</v>
      </c>
      <c r="N21" s="107">
        <f>N12*10%</f>
        <v>600000</v>
      </c>
    </row>
    <row r="22" spans="1:14" s="88" customFormat="1" ht="18" customHeight="1">
      <c r="A22" s="196" t="s">
        <v>29</v>
      </c>
      <c r="B22" s="496">
        <v>30.8</v>
      </c>
      <c r="C22" s="497">
        <v>74</v>
      </c>
      <c r="D22" s="105"/>
      <c r="E22" s="120"/>
      <c r="F22" s="12"/>
      <c r="G22" s="12"/>
      <c r="H22" s="107">
        <f t="shared" si="2"/>
        <v>50000</v>
      </c>
      <c r="I22" s="108">
        <f t="shared" si="1"/>
        <v>50000</v>
      </c>
      <c r="J22" s="12">
        <v>4</v>
      </c>
      <c r="K22" s="12" t="s">
        <v>106</v>
      </c>
      <c r="L22" s="12">
        <v>2</v>
      </c>
      <c r="M22" s="107" t="s">
        <v>106</v>
      </c>
      <c r="N22" s="107">
        <f>N12*5%</f>
        <v>300000</v>
      </c>
    </row>
    <row r="23" spans="1:14" s="88" customFormat="1" ht="18" customHeight="1">
      <c r="A23" s="196" t="s">
        <v>17</v>
      </c>
      <c r="B23" s="496"/>
      <c r="C23" s="497"/>
      <c r="D23" s="105"/>
      <c r="E23" s="106"/>
      <c r="F23" s="12"/>
      <c r="G23" s="12"/>
      <c r="H23" s="107">
        <f t="shared" si="2"/>
        <v>0</v>
      </c>
      <c r="I23" s="108">
        <f t="shared" si="1"/>
        <v>0</v>
      </c>
      <c r="L23" s="145"/>
      <c r="M23" s="146"/>
      <c r="N23" s="146"/>
    </row>
    <row r="24" spans="1:14" s="88" customFormat="1" ht="18" customHeight="1">
      <c r="A24" s="423"/>
      <c r="B24" s="364"/>
      <c r="C24" s="363"/>
      <c r="D24" s="124"/>
      <c r="E24" s="120"/>
      <c r="F24" s="12"/>
      <c r="G24" s="12"/>
      <c r="H24" s="107">
        <f t="shared" si="2"/>
        <v>0</v>
      </c>
      <c r="I24" s="108">
        <f t="shared" si="1"/>
        <v>0</v>
      </c>
      <c r="L24" s="145"/>
      <c r="M24" s="146"/>
      <c r="N24" s="146"/>
    </row>
    <row r="25" spans="1:14" s="88" customFormat="1" ht="18" customHeight="1">
      <c r="A25" s="196"/>
      <c r="B25" s="240"/>
      <c r="C25" s="105"/>
      <c r="D25" s="105"/>
      <c r="E25" s="106"/>
      <c r="F25" s="12"/>
      <c r="G25" s="12"/>
      <c r="H25" s="107">
        <f t="shared" si="2"/>
        <v>0</v>
      </c>
      <c r="I25" s="108">
        <f t="shared" si="1"/>
        <v>0</v>
      </c>
      <c r="J25" s="12" t="s">
        <v>107</v>
      </c>
      <c r="K25" s="12" t="s">
        <v>85</v>
      </c>
      <c r="L25" s="12"/>
      <c r="M25" s="107" t="s">
        <v>105</v>
      </c>
      <c r="N25" s="107"/>
    </row>
    <row r="26" spans="1:14" s="88" customFormat="1" ht="18" customHeight="1">
      <c r="A26" s="196"/>
      <c r="B26" s="240"/>
      <c r="C26" s="104"/>
      <c r="D26" s="105"/>
      <c r="E26" s="106"/>
      <c r="F26" s="104"/>
      <c r="G26" s="104"/>
      <c r="H26" s="107">
        <f t="shared" si="2"/>
        <v>0</v>
      </c>
      <c r="I26" s="108">
        <f t="shared" si="1"/>
        <v>0</v>
      </c>
      <c r="J26" s="12">
        <v>1</v>
      </c>
      <c r="K26" s="12" t="s">
        <v>289</v>
      </c>
      <c r="L26" s="12">
        <v>10</v>
      </c>
      <c r="M26" s="107" t="s">
        <v>289</v>
      </c>
      <c r="N26" s="107">
        <f>(N4+N5+N6)/3</f>
        <v>1200000</v>
      </c>
    </row>
    <row r="27" spans="1:14" s="88" customFormat="1" ht="18" customHeight="1">
      <c r="A27" s="196"/>
      <c r="B27" s="240"/>
      <c r="C27" s="104"/>
      <c r="D27" s="124"/>
      <c r="E27" s="106"/>
      <c r="F27" s="104"/>
      <c r="G27" s="104"/>
      <c r="H27" s="107">
        <f t="shared" si="2"/>
        <v>0</v>
      </c>
      <c r="I27" s="108">
        <f t="shared" si="1"/>
        <v>0</v>
      </c>
      <c r="J27" s="12">
        <v>2</v>
      </c>
      <c r="K27" s="12" t="s">
        <v>289</v>
      </c>
      <c r="L27" s="12">
        <v>5</v>
      </c>
      <c r="M27" s="107" t="s">
        <v>289</v>
      </c>
      <c r="N27" s="107">
        <f>(N7+N8+N9)/3</f>
        <v>600000</v>
      </c>
    </row>
    <row r="28" spans="1:9" ht="24" customHeight="1">
      <c r="A28" s="1"/>
      <c r="B28" s="3"/>
      <c r="C28" s="138"/>
      <c r="D28" s="139">
        <f>SUM(D4:D27)</f>
        <v>0</v>
      </c>
      <c r="E28" s="138"/>
      <c r="F28" s="3"/>
      <c r="G28" s="140">
        <f>SUM(G4:G27)</f>
        <v>44</v>
      </c>
      <c r="H28" s="140">
        <f>SUM(H4:H27)</f>
        <v>7260000</v>
      </c>
      <c r="I28" s="141"/>
    </row>
  </sheetData>
  <sheetProtection selectLockedCells="1" selectUnlockedCells="1"/>
  <mergeCells count="26">
    <mergeCell ref="B16:B17"/>
    <mergeCell ref="C16:C17"/>
    <mergeCell ref="B18:B19"/>
    <mergeCell ref="C18:C19"/>
    <mergeCell ref="B8:B9"/>
    <mergeCell ref="C8:C9"/>
    <mergeCell ref="B10:B11"/>
    <mergeCell ref="C10:C11"/>
    <mergeCell ref="B12:B13"/>
    <mergeCell ref="C12:C13"/>
    <mergeCell ref="B20:B21"/>
    <mergeCell ref="C20:C21"/>
    <mergeCell ref="B22:B23"/>
    <mergeCell ref="C22:C23"/>
    <mergeCell ref="F4:F5"/>
    <mergeCell ref="F6:F7"/>
    <mergeCell ref="F8:F9"/>
    <mergeCell ref="F10:F11"/>
    <mergeCell ref="B14:B15"/>
    <mergeCell ref="C14:C15"/>
    <mergeCell ref="B1:N1"/>
    <mergeCell ref="B2:N2"/>
    <mergeCell ref="B4:B5"/>
    <mergeCell ref="C4:C5"/>
    <mergeCell ref="B6:B7"/>
    <mergeCell ref="C6:C7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119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287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112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10</v>
      </c>
      <c r="B4" s="307">
        <v>15.6</v>
      </c>
      <c r="C4" s="104">
        <v>69</v>
      </c>
      <c r="D4" s="105">
        <v>34</v>
      </c>
      <c r="E4" s="106"/>
      <c r="F4" s="104">
        <v>1</v>
      </c>
      <c r="G4" s="104">
        <v>10</v>
      </c>
      <c r="H4" s="107">
        <f aca="true" t="shared" si="0" ref="H4:H11">N4+I4</f>
        <v>2050000</v>
      </c>
      <c r="I4" s="108">
        <f aca="true" t="shared" si="1" ref="I4:I11"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2000000</v>
      </c>
    </row>
    <row r="5" spans="1:14" s="113" customFormat="1" ht="18" customHeight="1">
      <c r="A5" s="196" t="s">
        <v>18</v>
      </c>
      <c r="B5" s="307">
        <v>14.8</v>
      </c>
      <c r="C5" s="104">
        <v>71</v>
      </c>
      <c r="D5" s="105">
        <v>32</v>
      </c>
      <c r="E5" s="106"/>
      <c r="F5" s="104">
        <v>2</v>
      </c>
      <c r="G5" s="104">
        <v>8</v>
      </c>
      <c r="H5" s="107">
        <f t="shared" si="0"/>
        <v>1650000</v>
      </c>
      <c r="I5" s="108">
        <f t="shared" si="1"/>
        <v>50000</v>
      </c>
      <c r="J5" s="114" t="s">
        <v>89</v>
      </c>
      <c r="K5" s="115"/>
      <c r="L5" s="116"/>
      <c r="M5" s="117">
        <v>8</v>
      </c>
      <c r="N5" s="107">
        <f>N12*20%</f>
        <v>1600000</v>
      </c>
    </row>
    <row r="6" spans="1:17" s="113" customFormat="1" ht="18" customHeight="1">
      <c r="A6" s="196" t="s">
        <v>28</v>
      </c>
      <c r="B6" s="307">
        <v>11.9</v>
      </c>
      <c r="C6" s="105">
        <v>72</v>
      </c>
      <c r="D6" s="105">
        <v>34</v>
      </c>
      <c r="E6" s="106"/>
      <c r="F6" s="12">
        <v>3</v>
      </c>
      <c r="G6" s="12">
        <v>6</v>
      </c>
      <c r="H6" s="107">
        <f t="shared" si="0"/>
        <v>1250000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1200000</v>
      </c>
      <c r="Q6" s="147"/>
    </row>
    <row r="7" spans="1:18" s="113" customFormat="1" ht="18" customHeight="1">
      <c r="A7" s="196" t="s">
        <v>30</v>
      </c>
      <c r="B7" s="307">
        <v>12.5</v>
      </c>
      <c r="C7" s="104">
        <v>74</v>
      </c>
      <c r="D7" s="105">
        <v>32</v>
      </c>
      <c r="E7" s="106"/>
      <c r="F7" s="104">
        <v>4</v>
      </c>
      <c r="G7" s="104">
        <v>5</v>
      </c>
      <c r="H7" s="107">
        <f t="shared" si="0"/>
        <v>1010000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960000</v>
      </c>
      <c r="O7" s="118"/>
      <c r="P7" s="118"/>
      <c r="Q7" s="118"/>
      <c r="R7" s="119"/>
    </row>
    <row r="8" spans="1:14" s="113" customFormat="1" ht="18" customHeight="1">
      <c r="A8" s="196" t="s">
        <v>38</v>
      </c>
      <c r="B8" s="307">
        <v>14.8</v>
      </c>
      <c r="C8" s="124">
        <v>74</v>
      </c>
      <c r="D8" s="124">
        <v>30</v>
      </c>
      <c r="E8" s="106"/>
      <c r="F8" s="104">
        <v>5</v>
      </c>
      <c r="G8" s="104">
        <v>4</v>
      </c>
      <c r="H8" s="107">
        <f t="shared" si="0"/>
        <v>850000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800000</v>
      </c>
    </row>
    <row r="9" spans="1:14" s="113" customFormat="1" ht="18" customHeight="1">
      <c r="A9" s="196" t="s">
        <v>22</v>
      </c>
      <c r="B9" s="307">
        <v>15.3</v>
      </c>
      <c r="C9" s="104">
        <v>74</v>
      </c>
      <c r="D9" s="105">
        <v>31</v>
      </c>
      <c r="E9" s="106"/>
      <c r="F9" s="121">
        <v>6</v>
      </c>
      <c r="G9" s="121">
        <v>3</v>
      </c>
      <c r="H9" s="107">
        <f t="shared" si="0"/>
        <v>690000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640000</v>
      </c>
    </row>
    <row r="10" spans="1:14" s="113" customFormat="1" ht="18" customHeight="1">
      <c r="A10" s="196" t="s">
        <v>20</v>
      </c>
      <c r="B10" s="307">
        <v>18.3</v>
      </c>
      <c r="C10" s="105">
        <v>75</v>
      </c>
      <c r="D10" s="105">
        <v>30</v>
      </c>
      <c r="E10" s="106"/>
      <c r="F10" s="104">
        <v>7</v>
      </c>
      <c r="G10" s="104">
        <v>2</v>
      </c>
      <c r="H10" s="107">
        <f t="shared" si="0"/>
        <v>530000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480000</v>
      </c>
    </row>
    <row r="11" spans="1:17" s="113" customFormat="1" ht="18" customHeight="1">
      <c r="A11" s="196" t="s">
        <v>36</v>
      </c>
      <c r="B11" s="307">
        <v>21.1</v>
      </c>
      <c r="C11" s="105">
        <v>76</v>
      </c>
      <c r="D11" s="124">
        <v>31</v>
      </c>
      <c r="E11" s="106"/>
      <c r="F11" s="104">
        <v>8</v>
      </c>
      <c r="G11" s="104">
        <v>1</v>
      </c>
      <c r="H11" s="107">
        <f t="shared" si="0"/>
        <v>370000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320000</v>
      </c>
      <c r="Q11" s="147"/>
    </row>
    <row r="12" spans="1:14" s="113" customFormat="1" ht="18" customHeight="1">
      <c r="A12" s="196" t="s">
        <v>333</v>
      </c>
      <c r="B12" s="307">
        <v>11.6</v>
      </c>
      <c r="C12" s="104">
        <v>78</v>
      </c>
      <c r="D12" s="124">
        <v>34</v>
      </c>
      <c r="E12" s="106"/>
      <c r="F12" s="104"/>
      <c r="G12" s="104"/>
      <c r="H12" s="107">
        <f aca="true" t="shared" si="2" ref="H12:H27">I12</f>
        <v>50000</v>
      </c>
      <c r="I12" s="108">
        <f aca="true" t="shared" si="3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8000000</v>
      </c>
    </row>
    <row r="13" spans="1:14" s="113" customFormat="1" ht="18" customHeight="1">
      <c r="A13" s="196" t="s">
        <v>48</v>
      </c>
      <c r="B13" s="307">
        <v>7.9</v>
      </c>
      <c r="C13" s="104">
        <v>79</v>
      </c>
      <c r="D13" s="124">
        <v>30</v>
      </c>
      <c r="E13" s="106"/>
      <c r="F13" s="104"/>
      <c r="G13" s="104"/>
      <c r="H13" s="107">
        <f t="shared" si="2"/>
        <v>50000</v>
      </c>
      <c r="I13" s="108">
        <f t="shared" si="3"/>
        <v>50000</v>
      </c>
      <c r="J13" s="125" t="s">
        <v>97</v>
      </c>
      <c r="K13" s="126"/>
      <c r="L13" s="127"/>
      <c r="M13" s="128">
        <v>1</v>
      </c>
      <c r="N13" s="129">
        <f>N10</f>
        <v>480000</v>
      </c>
    </row>
    <row r="14" spans="1:14" s="113" customFormat="1" ht="18" customHeight="1">
      <c r="A14" s="196" t="s">
        <v>46</v>
      </c>
      <c r="B14" s="307">
        <v>18.9</v>
      </c>
      <c r="C14" s="124">
        <v>79</v>
      </c>
      <c r="D14" s="105">
        <v>28</v>
      </c>
      <c r="E14" s="106"/>
      <c r="F14" s="104"/>
      <c r="G14" s="104"/>
      <c r="H14" s="107">
        <f t="shared" si="2"/>
        <v>50000</v>
      </c>
      <c r="I14" s="108">
        <f t="shared" si="3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40</v>
      </c>
      <c r="B15" s="307">
        <v>25.7</v>
      </c>
      <c r="C15" s="104">
        <v>79</v>
      </c>
      <c r="D15" s="105">
        <v>29</v>
      </c>
      <c r="E15" s="106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8</v>
      </c>
      <c r="B16" s="307">
        <v>23.4</v>
      </c>
      <c r="C16" s="104">
        <v>80</v>
      </c>
      <c r="D16" s="105">
        <v>39</v>
      </c>
      <c r="E16" s="106"/>
      <c r="F16" s="12"/>
      <c r="G16" s="12"/>
      <c r="H16" s="107">
        <f t="shared" si="2"/>
        <v>50000</v>
      </c>
      <c r="I16" s="108">
        <f t="shared" si="3"/>
        <v>50000</v>
      </c>
    </row>
    <row r="17" spans="1:18" s="113" customFormat="1" ht="18" customHeight="1">
      <c r="A17" s="196" t="s">
        <v>34</v>
      </c>
      <c r="B17" s="307">
        <v>14.4</v>
      </c>
      <c r="C17" s="104">
        <v>81</v>
      </c>
      <c r="D17" s="105">
        <v>29</v>
      </c>
      <c r="E17" s="106">
        <v>0.72</v>
      </c>
      <c r="F17" s="12"/>
      <c r="G17" s="12"/>
      <c r="H17" s="107">
        <f t="shared" si="2"/>
        <v>530000</v>
      </c>
      <c r="I17" s="108">
        <f t="shared" si="3"/>
        <v>530000</v>
      </c>
      <c r="O17" s="118"/>
      <c r="P17" s="118"/>
      <c r="Q17" s="118"/>
      <c r="R17" s="119"/>
    </row>
    <row r="18" spans="1:13" s="113" customFormat="1" ht="18" customHeight="1">
      <c r="A18" s="196" t="s">
        <v>50</v>
      </c>
      <c r="B18" s="307">
        <v>23.6</v>
      </c>
      <c r="C18" s="105">
        <v>81</v>
      </c>
      <c r="D18" s="124">
        <v>41</v>
      </c>
      <c r="E18" s="120"/>
      <c r="F18" s="104"/>
      <c r="G18" s="104"/>
      <c r="H18" s="107">
        <f t="shared" si="2"/>
        <v>50000</v>
      </c>
      <c r="I18" s="108">
        <f t="shared" si="3"/>
        <v>50000</v>
      </c>
      <c r="J18" s="119"/>
      <c r="K18" s="119"/>
      <c r="L18" s="119"/>
      <c r="M18" s="119"/>
    </row>
    <row r="19" spans="1:13" s="113" customFormat="1" ht="18" customHeight="1">
      <c r="A19" s="196" t="s">
        <v>42</v>
      </c>
      <c r="B19" s="307">
        <v>17.8</v>
      </c>
      <c r="C19" s="104">
        <v>82</v>
      </c>
      <c r="D19" s="105">
        <v>34</v>
      </c>
      <c r="E19" s="106"/>
      <c r="F19" s="104"/>
      <c r="G19" s="104"/>
      <c r="H19" s="107">
        <f t="shared" si="2"/>
        <v>50000</v>
      </c>
      <c r="I19" s="108">
        <f t="shared" si="3"/>
        <v>50000</v>
      </c>
      <c r="J19" s="119"/>
      <c r="K19" s="119"/>
      <c r="L19" s="119"/>
      <c r="M19" s="119"/>
    </row>
    <row r="20" spans="1:9" s="88" customFormat="1" ht="18" customHeight="1">
      <c r="A20" s="196" t="s">
        <v>16</v>
      </c>
      <c r="B20" s="307">
        <v>18.9</v>
      </c>
      <c r="C20" s="104">
        <v>86</v>
      </c>
      <c r="D20" s="105">
        <v>36</v>
      </c>
      <c r="E20" s="106"/>
      <c r="F20" s="12"/>
      <c r="G20" s="12"/>
      <c r="H20" s="107">
        <f t="shared" si="2"/>
        <v>50000</v>
      </c>
      <c r="I20" s="108">
        <f t="shared" si="3"/>
        <v>50000</v>
      </c>
    </row>
    <row r="21" spans="1:9" s="88" customFormat="1" ht="18" customHeight="1">
      <c r="A21" s="196" t="s">
        <v>26</v>
      </c>
      <c r="B21" s="307">
        <v>21.7</v>
      </c>
      <c r="C21" s="105">
        <v>91</v>
      </c>
      <c r="D21" s="124">
        <v>39</v>
      </c>
      <c r="E21" s="106"/>
      <c r="F21" s="12"/>
      <c r="G21" s="12"/>
      <c r="H21" s="107">
        <f t="shared" si="2"/>
        <v>50000</v>
      </c>
      <c r="I21" s="108">
        <f t="shared" si="3"/>
        <v>50000</v>
      </c>
    </row>
    <row r="22" spans="1:9" s="88" customFormat="1" ht="18" customHeight="1">
      <c r="A22" s="196" t="s">
        <v>14</v>
      </c>
      <c r="B22" s="307">
        <v>10.4</v>
      </c>
      <c r="C22" s="104"/>
      <c r="D22" s="105"/>
      <c r="E22" s="106"/>
      <c r="F22" s="12"/>
      <c r="G22" s="12"/>
      <c r="H22" s="107">
        <f t="shared" si="2"/>
        <v>0</v>
      </c>
      <c r="I22" s="108">
        <f t="shared" si="3"/>
        <v>0</v>
      </c>
    </row>
    <row r="23" spans="1:9" s="88" customFormat="1" ht="18" customHeight="1">
      <c r="A23" s="196" t="s">
        <v>32</v>
      </c>
      <c r="B23" s="307">
        <v>13.6</v>
      </c>
      <c r="C23" s="104"/>
      <c r="D23" s="105"/>
      <c r="E23" s="106"/>
      <c r="F23" s="12"/>
      <c r="G23" s="12"/>
      <c r="H23" s="107">
        <f t="shared" si="2"/>
        <v>0</v>
      </c>
      <c r="I23" s="108">
        <f t="shared" si="3"/>
        <v>0</v>
      </c>
    </row>
    <row r="24" spans="1:9" s="88" customFormat="1" ht="18" customHeight="1">
      <c r="A24" s="196" t="s">
        <v>44</v>
      </c>
      <c r="B24" s="307">
        <v>13.6</v>
      </c>
      <c r="C24" s="105"/>
      <c r="D24" s="124"/>
      <c r="E24" s="106"/>
      <c r="F24" s="12"/>
      <c r="G24" s="12"/>
      <c r="H24" s="107">
        <f t="shared" si="2"/>
        <v>0</v>
      </c>
      <c r="I24" s="108">
        <f t="shared" si="3"/>
        <v>0</v>
      </c>
    </row>
    <row r="25" spans="1:9" s="88" customFormat="1" ht="18" customHeight="1">
      <c r="A25" s="196" t="s">
        <v>24</v>
      </c>
      <c r="B25" s="307">
        <v>14.9</v>
      </c>
      <c r="C25" s="104"/>
      <c r="D25" s="105"/>
      <c r="E25" s="106"/>
      <c r="F25" s="12"/>
      <c r="G25" s="12"/>
      <c r="H25" s="107">
        <f t="shared" si="2"/>
        <v>0</v>
      </c>
      <c r="I25" s="108">
        <f t="shared" si="3"/>
        <v>0</v>
      </c>
    </row>
    <row r="26" spans="1:9" s="88" customFormat="1" ht="18" customHeight="1">
      <c r="A26" s="196" t="s">
        <v>12</v>
      </c>
      <c r="B26" s="307">
        <v>18.5</v>
      </c>
      <c r="C26" s="124"/>
      <c r="D26" s="105"/>
      <c r="E26" s="106"/>
      <c r="F26" s="104"/>
      <c r="G26" s="104"/>
      <c r="H26" s="107">
        <f t="shared" si="2"/>
        <v>0</v>
      </c>
      <c r="I26" s="108">
        <f t="shared" si="3"/>
        <v>0</v>
      </c>
    </row>
    <row r="27" spans="1:9" s="88" customFormat="1" ht="18" customHeight="1">
      <c r="A27" s="196"/>
      <c r="B27" s="240"/>
      <c r="C27" s="104"/>
      <c r="D27" s="124"/>
      <c r="E27" s="106"/>
      <c r="F27" s="104"/>
      <c r="G27" s="104"/>
      <c r="H27" s="107">
        <f t="shared" si="2"/>
        <v>0</v>
      </c>
      <c r="I27" s="108">
        <f t="shared" si="3"/>
        <v>0</v>
      </c>
    </row>
    <row r="28" spans="1:9" ht="24" customHeight="1">
      <c r="A28" s="1"/>
      <c r="B28" s="3"/>
      <c r="C28" s="138"/>
      <c r="D28" s="139">
        <f>SUM(D4:D27)</f>
        <v>593</v>
      </c>
      <c r="E28" s="138"/>
      <c r="F28" s="3"/>
      <c r="G28" s="140">
        <f>SUM(G4:G27)</f>
        <v>39</v>
      </c>
      <c r="H28" s="140">
        <f>SUM(H4:H27)</f>
        <v>9380000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120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180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54" customFormat="1" ht="27" customHeight="1">
      <c r="A3" s="148" t="s">
        <v>79</v>
      </c>
      <c r="B3" s="149" t="s">
        <v>80</v>
      </c>
      <c r="C3" s="149" t="s">
        <v>85</v>
      </c>
      <c r="D3" s="149" t="s">
        <v>82</v>
      </c>
      <c r="E3" s="149" t="s">
        <v>83</v>
      </c>
      <c r="F3" s="150" t="s">
        <v>84</v>
      </c>
      <c r="G3" s="151" t="s">
        <v>85</v>
      </c>
      <c r="H3" s="152" t="s">
        <v>86</v>
      </c>
      <c r="I3" s="153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28</v>
      </c>
      <c r="B4" s="307">
        <v>12.2</v>
      </c>
      <c r="C4" s="12">
        <v>37</v>
      </c>
      <c r="D4" s="124">
        <v>33</v>
      </c>
      <c r="E4" s="120"/>
      <c r="F4" s="104">
        <v>1</v>
      </c>
      <c r="G4" s="104">
        <v>10</v>
      </c>
      <c r="H4" s="107">
        <f aca="true" t="shared" si="0" ref="H4:H11">N4+I4</f>
        <v>1550000</v>
      </c>
      <c r="I4" s="108">
        <f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36</v>
      </c>
      <c r="B5" s="307">
        <v>21.1</v>
      </c>
      <c r="C5" s="104">
        <v>36</v>
      </c>
      <c r="D5" s="124">
        <v>30</v>
      </c>
      <c r="E5" s="120"/>
      <c r="F5" s="104">
        <v>2</v>
      </c>
      <c r="G5" s="104">
        <v>8</v>
      </c>
      <c r="H5" s="107">
        <f t="shared" si="0"/>
        <v>1250000</v>
      </c>
      <c r="I5" s="108">
        <f aca="true" t="shared" si="1" ref="I5:I11">IF(E5&gt;0,$N$13,0)+IF(C5&gt;0,50000,0)+IF(C13&lt;0,50000,0)</f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34</v>
      </c>
      <c r="B6" s="307">
        <v>14.4</v>
      </c>
      <c r="C6" s="105">
        <v>34</v>
      </c>
      <c r="D6" s="105">
        <v>35</v>
      </c>
      <c r="E6" s="106">
        <v>3.59</v>
      </c>
      <c r="F6" s="12">
        <v>3</v>
      </c>
      <c r="G6" s="12">
        <v>6</v>
      </c>
      <c r="H6" s="107">
        <f t="shared" si="0"/>
        <v>1310000</v>
      </c>
      <c r="I6" s="108">
        <f t="shared" si="1"/>
        <v>410000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12</v>
      </c>
      <c r="B7" s="307">
        <v>18.5</v>
      </c>
      <c r="C7" s="104">
        <v>33</v>
      </c>
      <c r="D7" s="124">
        <v>37</v>
      </c>
      <c r="E7" s="106"/>
      <c r="F7" s="104">
        <v>4</v>
      </c>
      <c r="G7" s="104">
        <v>5</v>
      </c>
      <c r="H7" s="107">
        <f t="shared" si="0"/>
        <v>770000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40</v>
      </c>
      <c r="B8" s="307">
        <v>25.7</v>
      </c>
      <c r="C8" s="104">
        <v>33</v>
      </c>
      <c r="D8" s="105">
        <v>38</v>
      </c>
      <c r="E8" s="106"/>
      <c r="F8" s="104">
        <v>5</v>
      </c>
      <c r="G8" s="104">
        <v>4</v>
      </c>
      <c r="H8" s="107">
        <f t="shared" si="0"/>
        <v>650000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52</v>
      </c>
      <c r="B9" s="307">
        <v>13.8</v>
      </c>
      <c r="C9" s="104">
        <v>32</v>
      </c>
      <c r="D9" s="105">
        <v>32</v>
      </c>
      <c r="E9" s="106"/>
      <c r="F9" s="121">
        <v>6</v>
      </c>
      <c r="G9" s="121">
        <v>3</v>
      </c>
      <c r="H9" s="107">
        <f t="shared" si="0"/>
        <v>530000</v>
      </c>
      <c r="I9" s="108">
        <f>IF(E9&gt;0,$N$13,0)+IF(C9&gt;0,50000,0)+IF(C17&lt;0,50000,0)</f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48</v>
      </c>
      <c r="B10" s="307">
        <v>7.8</v>
      </c>
      <c r="C10" s="105">
        <v>31</v>
      </c>
      <c r="D10" s="105">
        <v>36</v>
      </c>
      <c r="E10" s="106"/>
      <c r="F10" s="104">
        <v>7</v>
      </c>
      <c r="G10" s="104">
        <v>2</v>
      </c>
      <c r="H10" s="107">
        <f t="shared" si="0"/>
        <v>410000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30</v>
      </c>
      <c r="B11" s="307">
        <v>12.4</v>
      </c>
      <c r="C11" s="104">
        <v>30</v>
      </c>
      <c r="D11" s="124">
        <v>34</v>
      </c>
      <c r="E11" s="106"/>
      <c r="F11" s="104">
        <v>8</v>
      </c>
      <c r="G11" s="104">
        <v>1</v>
      </c>
      <c r="H11" s="107">
        <f t="shared" si="0"/>
        <v>290000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38</v>
      </c>
      <c r="B12" s="307">
        <v>14.7</v>
      </c>
      <c r="C12" s="104">
        <v>30</v>
      </c>
      <c r="D12" s="124">
        <v>32</v>
      </c>
      <c r="E12" s="106"/>
      <c r="F12" s="104"/>
      <c r="G12" s="104"/>
      <c r="H12" s="107">
        <f aca="true" t="shared" si="2" ref="H12:H27">I12</f>
        <v>50000</v>
      </c>
      <c r="I12" s="108">
        <f aca="true" t="shared" si="3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10</v>
      </c>
      <c r="B13" s="307">
        <v>15.4</v>
      </c>
      <c r="C13" s="104">
        <v>29</v>
      </c>
      <c r="D13" s="105">
        <v>35</v>
      </c>
      <c r="E13" s="106"/>
      <c r="F13" s="104"/>
      <c r="G13" s="104"/>
      <c r="H13" s="107">
        <f t="shared" si="2"/>
        <v>50000</v>
      </c>
      <c r="I13" s="108">
        <f t="shared" si="3"/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8</v>
      </c>
      <c r="B14" s="307">
        <v>23.3</v>
      </c>
      <c r="C14" s="104">
        <v>29</v>
      </c>
      <c r="D14" s="124">
        <v>37</v>
      </c>
      <c r="E14" s="120"/>
      <c r="F14" s="104"/>
      <c r="G14" s="104"/>
      <c r="H14" s="107">
        <f t="shared" si="2"/>
        <v>50000</v>
      </c>
      <c r="I14" s="108">
        <f t="shared" si="3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50</v>
      </c>
      <c r="B15" s="307">
        <v>23.5</v>
      </c>
      <c r="C15" s="105">
        <v>28</v>
      </c>
      <c r="D15" s="124">
        <v>35</v>
      </c>
      <c r="E15" s="106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26</v>
      </c>
      <c r="B16" s="307">
        <v>21.6</v>
      </c>
      <c r="C16" s="105">
        <v>27</v>
      </c>
      <c r="D16" s="105">
        <v>38</v>
      </c>
      <c r="E16" s="106"/>
      <c r="F16" s="12"/>
      <c r="G16" s="12"/>
      <c r="H16" s="107">
        <f t="shared" si="2"/>
        <v>50000</v>
      </c>
      <c r="I16" s="108">
        <f t="shared" si="3"/>
        <v>50000</v>
      </c>
    </row>
    <row r="17" spans="1:18" s="113" customFormat="1" ht="18" customHeight="1">
      <c r="A17" s="196" t="s">
        <v>18</v>
      </c>
      <c r="B17" s="307">
        <v>15</v>
      </c>
      <c r="C17" s="12">
        <v>25</v>
      </c>
      <c r="D17" s="105">
        <v>34</v>
      </c>
      <c r="E17" s="120"/>
      <c r="F17" s="12"/>
      <c r="G17" s="12"/>
      <c r="H17" s="107">
        <f t="shared" si="2"/>
        <v>50000</v>
      </c>
      <c r="I17" s="108">
        <f t="shared" si="3"/>
        <v>50000</v>
      </c>
      <c r="O17" s="118"/>
      <c r="P17" s="118"/>
      <c r="Q17" s="118"/>
      <c r="R17" s="119"/>
    </row>
    <row r="18" spans="1:12" s="113" customFormat="1" ht="18" customHeight="1">
      <c r="A18" s="196" t="s">
        <v>22</v>
      </c>
      <c r="B18" s="307">
        <v>15.2</v>
      </c>
      <c r="C18" s="104">
        <v>24</v>
      </c>
      <c r="D18" s="105">
        <v>41</v>
      </c>
      <c r="E18" s="106"/>
      <c r="F18" s="104"/>
      <c r="G18" s="104"/>
      <c r="H18" s="107">
        <f t="shared" si="2"/>
        <v>50000</v>
      </c>
      <c r="I18" s="108">
        <f t="shared" si="3"/>
        <v>50000</v>
      </c>
      <c r="J18" s="119"/>
      <c r="K18" s="119"/>
      <c r="L18" s="119"/>
    </row>
    <row r="19" spans="1:12" s="113" customFormat="1" ht="18" customHeight="1">
      <c r="A19" s="196" t="s">
        <v>42</v>
      </c>
      <c r="B19" s="307">
        <v>17.7</v>
      </c>
      <c r="C19" s="105">
        <v>24</v>
      </c>
      <c r="D19" s="105">
        <v>38</v>
      </c>
      <c r="E19" s="120"/>
      <c r="F19" s="104"/>
      <c r="G19" s="104"/>
      <c r="H19" s="107">
        <f t="shared" si="2"/>
        <v>50000</v>
      </c>
      <c r="I19" s="108">
        <f t="shared" si="3"/>
        <v>50000</v>
      </c>
      <c r="J19" s="119"/>
      <c r="K19" s="119"/>
      <c r="L19" s="119"/>
    </row>
    <row r="20" spans="1:9" s="88" customFormat="1" ht="18" customHeight="1">
      <c r="A20" s="196" t="s">
        <v>16</v>
      </c>
      <c r="B20" s="307">
        <v>18.8</v>
      </c>
      <c r="C20" s="104">
        <v>17</v>
      </c>
      <c r="D20" s="105">
        <v>44</v>
      </c>
      <c r="E20" s="106"/>
      <c r="F20" s="12"/>
      <c r="G20" s="12"/>
      <c r="H20" s="107">
        <f t="shared" si="2"/>
        <v>50000</v>
      </c>
      <c r="I20" s="108">
        <f t="shared" si="3"/>
        <v>50000</v>
      </c>
    </row>
    <row r="21" spans="1:9" s="88" customFormat="1" ht="18" customHeight="1">
      <c r="A21" s="196"/>
      <c r="B21" s="307"/>
      <c r="C21" s="124"/>
      <c r="D21" s="105"/>
      <c r="E21" s="120"/>
      <c r="F21" s="12"/>
      <c r="G21" s="12"/>
      <c r="H21" s="107">
        <f t="shared" si="2"/>
        <v>0</v>
      </c>
      <c r="I21" s="108">
        <f t="shared" si="3"/>
        <v>0</v>
      </c>
    </row>
    <row r="22" spans="1:9" s="88" customFormat="1" ht="18" customHeight="1">
      <c r="A22" s="196"/>
      <c r="B22" s="307"/>
      <c r="C22" s="104"/>
      <c r="D22" s="105"/>
      <c r="E22" s="106"/>
      <c r="F22" s="12"/>
      <c r="G22" s="12"/>
      <c r="H22" s="107">
        <f t="shared" si="2"/>
        <v>0</v>
      </c>
      <c r="I22" s="108">
        <f t="shared" si="3"/>
        <v>0</v>
      </c>
    </row>
    <row r="23" spans="1:9" s="88" customFormat="1" ht="18" customHeight="1">
      <c r="A23" s="196"/>
      <c r="B23" s="307"/>
      <c r="C23" s="104"/>
      <c r="D23" s="105"/>
      <c r="E23" s="106"/>
      <c r="F23" s="12"/>
      <c r="G23" s="12"/>
      <c r="H23" s="107">
        <f t="shared" si="2"/>
        <v>0</v>
      </c>
      <c r="I23" s="108">
        <f>IF(E23&gt;0,$N$13,0)+IF(C23&gt;0,50000,0)+IF(C23&lt;0,50000,0)</f>
        <v>0</v>
      </c>
    </row>
    <row r="24" spans="1:9" s="88" customFormat="1" ht="18" customHeight="1">
      <c r="A24" s="196"/>
      <c r="B24" s="307"/>
      <c r="C24" s="104"/>
      <c r="D24" s="105"/>
      <c r="E24" s="120"/>
      <c r="F24" s="12"/>
      <c r="G24" s="12"/>
      <c r="H24" s="107">
        <f t="shared" si="2"/>
        <v>0</v>
      </c>
      <c r="I24" s="108">
        <f t="shared" si="3"/>
        <v>0</v>
      </c>
    </row>
    <row r="25" spans="1:9" s="88" customFormat="1" ht="18" customHeight="1">
      <c r="A25" s="196"/>
      <c r="B25" s="307"/>
      <c r="C25" s="104"/>
      <c r="D25" s="105"/>
      <c r="E25" s="106"/>
      <c r="F25" s="12"/>
      <c r="G25" s="12"/>
      <c r="H25" s="107">
        <f t="shared" si="2"/>
        <v>0</v>
      </c>
      <c r="I25" s="108">
        <f t="shared" si="3"/>
        <v>0</v>
      </c>
    </row>
    <row r="26" spans="1:9" s="88" customFormat="1" ht="18" customHeight="1">
      <c r="A26" s="196"/>
      <c r="B26" s="307"/>
      <c r="C26" s="105"/>
      <c r="D26" s="124"/>
      <c r="E26" s="106"/>
      <c r="F26" s="104"/>
      <c r="G26" s="104"/>
      <c r="H26" s="107">
        <f t="shared" si="2"/>
        <v>0</v>
      </c>
      <c r="I26" s="108">
        <f t="shared" si="3"/>
        <v>0</v>
      </c>
    </row>
    <row r="27" spans="1:9" s="88" customFormat="1" ht="18" customHeight="1">
      <c r="A27" s="196"/>
      <c r="B27" s="307"/>
      <c r="C27" s="104"/>
      <c r="D27" s="105"/>
      <c r="E27" s="120"/>
      <c r="F27" s="104"/>
      <c r="G27" s="104"/>
      <c r="H27" s="107">
        <f t="shared" si="2"/>
        <v>0</v>
      </c>
      <c r="I27" s="108">
        <f t="shared" si="3"/>
        <v>0</v>
      </c>
    </row>
    <row r="28" spans="1:9" ht="24" customHeight="1">
      <c r="A28" s="1"/>
      <c r="B28" s="3"/>
      <c r="C28" s="138"/>
      <c r="D28" s="139">
        <f>SUM(D4:D27)</f>
        <v>609</v>
      </c>
      <c r="E28" s="138"/>
      <c r="F28" s="3"/>
      <c r="G28" s="140">
        <f>SUM(G4:G27)</f>
        <v>39</v>
      </c>
      <c r="H28" s="140">
        <f>SUM(H4:H27)</f>
        <v>7210000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121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286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36</v>
      </c>
      <c r="B4" s="307">
        <v>22.7</v>
      </c>
      <c r="C4" s="104">
        <v>40</v>
      </c>
      <c r="D4" s="105">
        <v>29</v>
      </c>
      <c r="E4" s="120">
        <v>3.92</v>
      </c>
      <c r="F4" s="104">
        <v>1</v>
      </c>
      <c r="G4" s="104">
        <v>10</v>
      </c>
      <c r="H4" s="107">
        <v>1650000</v>
      </c>
      <c r="I4" s="108">
        <f aca="true" t="shared" si="0" ref="I4:I27">IF(E4&gt;0,$N$13,0)+IF(C4&gt;0,50000,0)+IF(C12&lt;0,50000,0)</f>
        <v>410000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48</v>
      </c>
      <c r="B5" s="307">
        <v>7.7</v>
      </c>
      <c r="C5" s="105">
        <v>35</v>
      </c>
      <c r="D5" s="105">
        <v>27</v>
      </c>
      <c r="E5" s="120"/>
      <c r="F5" s="104">
        <v>2</v>
      </c>
      <c r="G5" s="104">
        <v>8</v>
      </c>
      <c r="H5" s="107">
        <f aca="true" t="shared" si="1" ref="H5:H11">N5+I5</f>
        <v>1250000</v>
      </c>
      <c r="I5" s="108">
        <f t="shared" si="0"/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333</v>
      </c>
      <c r="B6" s="307">
        <v>11.6</v>
      </c>
      <c r="C6" s="104">
        <v>35</v>
      </c>
      <c r="D6" s="105">
        <v>34</v>
      </c>
      <c r="E6" s="106">
        <v>3.44</v>
      </c>
      <c r="F6" s="12">
        <v>3</v>
      </c>
      <c r="G6" s="12">
        <v>6</v>
      </c>
      <c r="H6" s="107">
        <f t="shared" si="1"/>
        <v>1310000</v>
      </c>
      <c r="I6" s="108">
        <f t="shared" si="0"/>
        <v>410000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30</v>
      </c>
      <c r="B7" s="307">
        <v>12.4</v>
      </c>
      <c r="C7" s="105">
        <v>35</v>
      </c>
      <c r="D7" s="124">
        <v>31</v>
      </c>
      <c r="E7" s="120"/>
      <c r="F7" s="104">
        <v>4</v>
      </c>
      <c r="G7" s="104">
        <v>5</v>
      </c>
      <c r="H7" s="107">
        <f t="shared" si="1"/>
        <v>770000</v>
      </c>
      <c r="I7" s="108">
        <f t="shared" si="0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38</v>
      </c>
      <c r="B8" s="307">
        <v>14.7</v>
      </c>
      <c r="C8" s="104">
        <v>35</v>
      </c>
      <c r="D8" s="105">
        <v>29</v>
      </c>
      <c r="E8" s="106"/>
      <c r="F8" s="104">
        <v>5</v>
      </c>
      <c r="G8" s="104">
        <v>4</v>
      </c>
      <c r="H8" s="107">
        <f t="shared" si="1"/>
        <v>650000</v>
      </c>
      <c r="I8" s="108">
        <f t="shared" si="0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42</v>
      </c>
      <c r="B9" s="307">
        <v>17.7</v>
      </c>
      <c r="C9" s="124">
        <v>35</v>
      </c>
      <c r="D9" s="105">
        <v>30</v>
      </c>
      <c r="E9" s="120"/>
      <c r="F9" s="121">
        <v>6</v>
      </c>
      <c r="G9" s="121">
        <v>3</v>
      </c>
      <c r="H9" s="107">
        <f t="shared" si="1"/>
        <v>530000</v>
      </c>
      <c r="I9" s="108">
        <f t="shared" si="0"/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52</v>
      </c>
      <c r="B10" s="307">
        <v>12.8</v>
      </c>
      <c r="C10" s="105">
        <v>33</v>
      </c>
      <c r="D10" s="105">
        <v>34</v>
      </c>
      <c r="E10" s="106"/>
      <c r="F10" s="104">
        <v>7</v>
      </c>
      <c r="G10" s="104">
        <v>2</v>
      </c>
      <c r="H10" s="107">
        <f t="shared" si="1"/>
        <v>410000</v>
      </c>
      <c r="I10" s="108">
        <f t="shared" si="0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46</v>
      </c>
      <c r="B11" s="307">
        <v>18.9</v>
      </c>
      <c r="C11" s="12">
        <v>33</v>
      </c>
      <c r="D11" s="124">
        <v>31</v>
      </c>
      <c r="E11" s="120"/>
      <c r="F11" s="104">
        <v>8</v>
      </c>
      <c r="G11" s="104">
        <v>1</v>
      </c>
      <c r="H11" s="107">
        <f t="shared" si="1"/>
        <v>290000</v>
      </c>
      <c r="I11" s="108">
        <f t="shared" si="0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28</v>
      </c>
      <c r="B12" s="307">
        <v>12.1</v>
      </c>
      <c r="C12" s="104">
        <v>32</v>
      </c>
      <c r="D12" s="105">
        <v>28</v>
      </c>
      <c r="E12" s="106"/>
      <c r="F12" s="104"/>
      <c r="G12" s="104"/>
      <c r="H12" s="107">
        <f aca="true" t="shared" si="2" ref="H12:H27">I12</f>
        <v>50000</v>
      </c>
      <c r="I12" s="108">
        <f t="shared" si="0"/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40</v>
      </c>
      <c r="B13" s="307">
        <v>25.6</v>
      </c>
      <c r="C13" s="104">
        <v>30</v>
      </c>
      <c r="D13" s="105">
        <v>38</v>
      </c>
      <c r="E13" s="106"/>
      <c r="F13" s="104"/>
      <c r="G13" s="104"/>
      <c r="H13" s="107">
        <f t="shared" si="2"/>
        <v>50000</v>
      </c>
      <c r="I13" s="108">
        <f t="shared" si="0"/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18</v>
      </c>
      <c r="B14" s="307">
        <v>14.9</v>
      </c>
      <c r="C14" s="105">
        <v>29</v>
      </c>
      <c r="D14" s="105">
        <v>32</v>
      </c>
      <c r="E14" s="106"/>
      <c r="F14" s="104"/>
      <c r="G14" s="104"/>
      <c r="H14" s="107">
        <f t="shared" si="2"/>
        <v>50000</v>
      </c>
      <c r="I14" s="108">
        <f t="shared" si="0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44</v>
      </c>
      <c r="B15" s="307">
        <v>13.6</v>
      </c>
      <c r="C15" s="104">
        <v>27</v>
      </c>
      <c r="D15" s="124">
        <v>36</v>
      </c>
      <c r="E15" s="106"/>
      <c r="F15" s="104"/>
      <c r="G15" s="104"/>
      <c r="H15" s="107">
        <f t="shared" si="2"/>
        <v>50000</v>
      </c>
      <c r="I15" s="108">
        <f t="shared" si="0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34</v>
      </c>
      <c r="B16" s="307">
        <v>14.3</v>
      </c>
      <c r="C16" s="12">
        <v>27</v>
      </c>
      <c r="D16" s="105">
        <v>34</v>
      </c>
      <c r="E16" s="120">
        <v>6.45</v>
      </c>
      <c r="F16" s="12"/>
      <c r="G16" s="12"/>
      <c r="H16" s="107">
        <v>150000</v>
      </c>
      <c r="I16" s="108">
        <f t="shared" si="0"/>
        <v>410000</v>
      </c>
    </row>
    <row r="17" spans="1:13" s="113" customFormat="1" ht="18" customHeight="1">
      <c r="A17" s="196" t="s">
        <v>26</v>
      </c>
      <c r="B17" s="307">
        <v>21.5</v>
      </c>
      <c r="C17" s="104">
        <v>27</v>
      </c>
      <c r="D17" s="124">
        <v>37</v>
      </c>
      <c r="E17" s="106"/>
      <c r="F17" s="12"/>
      <c r="G17" s="12"/>
      <c r="H17" s="107">
        <f t="shared" si="2"/>
        <v>50000</v>
      </c>
      <c r="I17" s="108">
        <f t="shared" si="0"/>
        <v>50000</v>
      </c>
      <c r="J17" s="118"/>
      <c r="K17" s="118"/>
      <c r="L17" s="118"/>
      <c r="M17" s="119"/>
    </row>
    <row r="18" spans="1:13" s="113" customFormat="1" ht="18" customHeight="1">
      <c r="A18" s="196" t="s">
        <v>12</v>
      </c>
      <c r="B18" s="307">
        <v>18.4</v>
      </c>
      <c r="C18" s="105">
        <v>25</v>
      </c>
      <c r="D18" s="105">
        <v>36</v>
      </c>
      <c r="E18" s="106"/>
      <c r="F18" s="104"/>
      <c r="G18" s="104"/>
      <c r="H18" s="107">
        <f t="shared" si="2"/>
        <v>50000</v>
      </c>
      <c r="I18" s="108">
        <f t="shared" si="0"/>
        <v>50000</v>
      </c>
      <c r="J18" s="119"/>
      <c r="K18" s="119"/>
      <c r="L18" s="119"/>
      <c r="M18" s="119"/>
    </row>
    <row r="19" spans="1:13" s="113" customFormat="1" ht="18" customHeight="1">
      <c r="A19" s="196"/>
      <c r="B19" s="307"/>
      <c r="C19" s="104"/>
      <c r="D19" s="124"/>
      <c r="E19" s="120"/>
      <c r="F19" s="104"/>
      <c r="G19" s="104"/>
      <c r="H19" s="107">
        <f t="shared" si="2"/>
        <v>0</v>
      </c>
      <c r="I19" s="108">
        <f t="shared" si="0"/>
        <v>0</v>
      </c>
      <c r="J19" s="119"/>
      <c r="K19" s="119"/>
      <c r="L19" s="119"/>
      <c r="M19" s="119"/>
    </row>
    <row r="20" spans="1:9" s="88" customFormat="1" ht="18" customHeight="1">
      <c r="A20" s="196"/>
      <c r="B20" s="307"/>
      <c r="C20" s="104"/>
      <c r="D20" s="124"/>
      <c r="E20" s="106"/>
      <c r="F20" s="12"/>
      <c r="G20" s="12"/>
      <c r="H20" s="107">
        <f t="shared" si="2"/>
        <v>0</v>
      </c>
      <c r="I20" s="108">
        <f t="shared" si="0"/>
        <v>0</v>
      </c>
    </row>
    <row r="21" spans="1:9" s="88" customFormat="1" ht="18" customHeight="1">
      <c r="A21" s="196"/>
      <c r="B21" s="307"/>
      <c r="C21" s="104"/>
      <c r="D21" s="105"/>
      <c r="E21" s="106"/>
      <c r="F21" s="12"/>
      <c r="G21" s="12"/>
      <c r="H21" s="107">
        <f t="shared" si="2"/>
        <v>0</v>
      </c>
      <c r="I21" s="108">
        <f t="shared" si="0"/>
        <v>0</v>
      </c>
    </row>
    <row r="22" spans="1:9" s="88" customFormat="1" ht="18" customHeight="1">
      <c r="A22" s="196"/>
      <c r="B22" s="307"/>
      <c r="C22" s="104"/>
      <c r="D22" s="124"/>
      <c r="E22" s="106"/>
      <c r="F22" s="12"/>
      <c r="G22" s="12"/>
      <c r="H22" s="107">
        <f t="shared" si="2"/>
        <v>0</v>
      </c>
      <c r="I22" s="108">
        <f t="shared" si="0"/>
        <v>0</v>
      </c>
    </row>
    <row r="23" spans="1:9" s="88" customFormat="1" ht="18" customHeight="1">
      <c r="A23" s="196"/>
      <c r="B23" s="307"/>
      <c r="C23" s="104"/>
      <c r="D23" s="105"/>
      <c r="E23" s="106"/>
      <c r="F23" s="12"/>
      <c r="G23" s="12"/>
      <c r="H23" s="107">
        <f t="shared" si="2"/>
        <v>0</v>
      </c>
      <c r="I23" s="108">
        <f t="shared" si="0"/>
        <v>0</v>
      </c>
    </row>
    <row r="24" spans="1:9" s="88" customFormat="1" ht="18" customHeight="1">
      <c r="A24" s="196"/>
      <c r="B24" s="307"/>
      <c r="C24" s="104"/>
      <c r="D24" s="105"/>
      <c r="E24" s="106"/>
      <c r="F24" s="12"/>
      <c r="G24" s="12"/>
      <c r="H24" s="107">
        <f t="shared" si="2"/>
        <v>0</v>
      </c>
      <c r="I24" s="108">
        <f t="shared" si="0"/>
        <v>0</v>
      </c>
    </row>
    <row r="25" spans="1:9" s="88" customFormat="1" ht="18" customHeight="1">
      <c r="A25" s="196"/>
      <c r="B25" s="307"/>
      <c r="C25" s="104"/>
      <c r="D25" s="105"/>
      <c r="E25" s="106"/>
      <c r="F25" s="12"/>
      <c r="G25" s="12"/>
      <c r="H25" s="107">
        <f t="shared" si="2"/>
        <v>0</v>
      </c>
      <c r="I25" s="108">
        <f t="shared" si="0"/>
        <v>0</v>
      </c>
    </row>
    <row r="26" spans="1:9" s="88" customFormat="1" ht="18" customHeight="1">
      <c r="A26" s="196"/>
      <c r="B26" s="240"/>
      <c r="C26" s="104"/>
      <c r="D26" s="105"/>
      <c r="E26" s="106"/>
      <c r="F26" s="104"/>
      <c r="G26" s="104"/>
      <c r="H26" s="107">
        <f t="shared" si="2"/>
        <v>0</v>
      </c>
      <c r="I26" s="108">
        <f t="shared" si="0"/>
        <v>0</v>
      </c>
    </row>
    <row r="27" spans="1:9" s="88" customFormat="1" ht="18" customHeight="1">
      <c r="A27" s="196"/>
      <c r="B27" s="240"/>
      <c r="C27" s="105"/>
      <c r="D27" s="124"/>
      <c r="E27" s="120"/>
      <c r="F27" s="104"/>
      <c r="G27" s="104"/>
      <c r="H27" s="107">
        <f t="shared" si="2"/>
        <v>0</v>
      </c>
      <c r="I27" s="108">
        <f t="shared" si="0"/>
        <v>0</v>
      </c>
    </row>
    <row r="28" spans="1:9" ht="24" customHeight="1">
      <c r="A28" s="1"/>
      <c r="B28" s="3"/>
      <c r="C28" s="138"/>
      <c r="D28" s="139">
        <f>SUM(D4:D27)</f>
        <v>486</v>
      </c>
      <c r="E28" s="138"/>
      <c r="F28" s="3"/>
      <c r="G28" s="140">
        <f>SUM(G4:G27)</f>
        <v>39</v>
      </c>
      <c r="H28" s="140">
        <f>SUM(H4:H27)</f>
        <v>7310000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30"/>
  <sheetViews>
    <sheetView zoomScale="150" zoomScaleNormal="150" zoomScalePageLayoutView="0" workbookViewId="0" topLeftCell="A1">
      <selection activeCell="D19" sqref="D19"/>
    </sheetView>
  </sheetViews>
  <sheetFormatPr defaultColWidth="9.140625" defaultRowHeight="12.75"/>
  <cols>
    <col min="1" max="1" width="2.28125" style="15" customWidth="1"/>
    <col min="2" max="2" width="25.421875" style="15" customWidth="1"/>
    <col min="3" max="3" width="15.421875" style="16" bestFit="1" customWidth="1"/>
    <col min="4" max="6" width="10.7109375" style="17" customWidth="1"/>
    <col min="7" max="11" width="9.7109375" style="17" customWidth="1"/>
    <col min="12" max="12" width="10.140625" style="17" customWidth="1"/>
    <col min="13" max="13" width="9.7109375" style="17" customWidth="1"/>
    <col min="14" max="14" width="10.28125" style="17" customWidth="1"/>
    <col min="15" max="17" width="9.7109375" style="17" customWidth="1"/>
    <col min="18" max="26" width="10.28125" style="17" customWidth="1"/>
    <col min="27" max="31" width="9.7109375" style="17" customWidth="1"/>
    <col min="32" max="35" width="8.7109375" style="17" bestFit="1" customWidth="1"/>
    <col min="36" max="39" width="8.7109375" style="15" bestFit="1" customWidth="1"/>
    <col min="40" max="40" width="9.8515625" style="15" customWidth="1"/>
    <col min="41" max="16384" width="9.140625" style="15" customWidth="1"/>
  </cols>
  <sheetData>
    <row r="1" spans="3:35" ht="24.75" customHeight="1">
      <c r="C1" s="18" t="s">
        <v>54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2:40" s="20" customFormat="1" ht="57" customHeight="1">
      <c r="B2" s="21"/>
      <c r="C2" s="32" t="s">
        <v>55</v>
      </c>
      <c r="D2" s="202">
        <v>42287</v>
      </c>
      <c r="E2" s="202">
        <v>42285</v>
      </c>
      <c r="F2" s="202">
        <v>42278</v>
      </c>
      <c r="G2" s="202">
        <v>42271</v>
      </c>
      <c r="H2" s="202">
        <v>42264</v>
      </c>
      <c r="I2" s="202">
        <v>42257</v>
      </c>
      <c r="J2" s="202">
        <v>42250</v>
      </c>
      <c r="K2" s="202" t="s">
        <v>314</v>
      </c>
      <c r="L2" s="202" t="s">
        <v>313</v>
      </c>
      <c r="M2" s="202">
        <v>42243</v>
      </c>
      <c r="N2" s="202">
        <v>42236</v>
      </c>
      <c r="O2" s="202">
        <v>42229</v>
      </c>
      <c r="P2" s="202">
        <v>42222</v>
      </c>
      <c r="Q2" s="202">
        <v>42215</v>
      </c>
      <c r="R2" s="202">
        <v>42208</v>
      </c>
      <c r="S2" s="33">
        <v>42201</v>
      </c>
      <c r="T2" s="33">
        <v>42194</v>
      </c>
      <c r="U2" s="33">
        <v>42187</v>
      </c>
      <c r="V2" s="202">
        <v>42180</v>
      </c>
      <c r="W2" s="202">
        <v>42173</v>
      </c>
      <c r="X2" s="202">
        <v>42166</v>
      </c>
      <c r="Y2" s="202">
        <v>42159</v>
      </c>
      <c r="Z2" s="202" t="s">
        <v>208</v>
      </c>
      <c r="AA2" s="202" t="s">
        <v>209</v>
      </c>
      <c r="AB2" s="202">
        <v>42152</v>
      </c>
      <c r="AC2" s="202">
        <v>42145</v>
      </c>
      <c r="AD2" s="202">
        <v>42138</v>
      </c>
      <c r="AE2" s="202">
        <v>42131</v>
      </c>
      <c r="AF2" s="202">
        <v>42124</v>
      </c>
      <c r="AG2" s="202">
        <v>42117</v>
      </c>
      <c r="AH2" s="202">
        <v>42110</v>
      </c>
      <c r="AI2" s="202">
        <v>42103</v>
      </c>
      <c r="AJ2" s="202">
        <v>42096</v>
      </c>
      <c r="AK2" s="202">
        <v>42089</v>
      </c>
      <c r="AL2" s="202">
        <v>42082</v>
      </c>
      <c r="AM2" s="202">
        <v>42075</v>
      </c>
      <c r="AN2" s="23" t="s">
        <v>56</v>
      </c>
    </row>
    <row r="3" spans="2:40" ht="15.75">
      <c r="B3" s="175" t="s">
        <v>49</v>
      </c>
      <c r="C3" s="181">
        <f aca="true" t="shared" si="0" ref="C3:C26">SUM(D3:AM3)</f>
        <v>26710000</v>
      </c>
      <c r="D3" s="182">
        <v>3750000</v>
      </c>
      <c r="E3" s="182">
        <v>590000</v>
      </c>
      <c r="F3" s="182">
        <v>50000</v>
      </c>
      <c r="G3" s="183">
        <v>1100000</v>
      </c>
      <c r="H3" s="183">
        <v>250000</v>
      </c>
      <c r="I3" s="183">
        <v>50000</v>
      </c>
      <c r="J3" s="183">
        <v>890000</v>
      </c>
      <c r="K3" s="183">
        <v>950000</v>
      </c>
      <c r="L3" s="183">
        <v>1050000</v>
      </c>
      <c r="M3" s="183">
        <v>530000</v>
      </c>
      <c r="N3" s="183">
        <v>50000</v>
      </c>
      <c r="O3" s="183">
        <v>1650000</v>
      </c>
      <c r="P3" s="183">
        <v>50000</v>
      </c>
      <c r="Q3" s="183">
        <v>1010000</v>
      </c>
      <c r="R3" s="183">
        <v>1550000</v>
      </c>
      <c r="S3" s="183">
        <v>1330000</v>
      </c>
      <c r="T3" s="183"/>
      <c r="U3" s="183"/>
      <c r="V3" s="183">
        <v>1250000</v>
      </c>
      <c r="W3" s="183">
        <v>50000</v>
      </c>
      <c r="X3" s="183">
        <v>410000</v>
      </c>
      <c r="Y3" s="183">
        <v>1250000</v>
      </c>
      <c r="Z3" s="183">
        <v>1600000</v>
      </c>
      <c r="AA3" s="183">
        <v>300000</v>
      </c>
      <c r="AB3" s="183">
        <v>770000</v>
      </c>
      <c r="AC3" s="183">
        <v>950000</v>
      </c>
      <c r="AD3" s="183">
        <v>1610000</v>
      </c>
      <c r="AE3" s="183">
        <v>750000</v>
      </c>
      <c r="AF3" s="183"/>
      <c r="AG3" s="183">
        <v>770000</v>
      </c>
      <c r="AH3" s="183">
        <v>50000</v>
      </c>
      <c r="AI3" s="183">
        <v>1650000</v>
      </c>
      <c r="AJ3" s="183"/>
      <c r="AK3" s="183">
        <v>50000</v>
      </c>
      <c r="AL3" s="183">
        <v>50000</v>
      </c>
      <c r="AM3" s="183">
        <v>350000</v>
      </c>
      <c r="AN3" s="184">
        <f aca="true" t="shared" si="1" ref="AN3:AN13">COUNTIF(D3:AM3,"&gt;0")</f>
        <v>32</v>
      </c>
    </row>
    <row r="4" spans="1:40" ht="15.75">
      <c r="A4" s="25"/>
      <c r="B4" s="177" t="s">
        <v>29</v>
      </c>
      <c r="C4" s="185">
        <f t="shared" si="0"/>
        <v>20470000</v>
      </c>
      <c r="D4" s="182">
        <v>50000</v>
      </c>
      <c r="E4" s="182">
        <v>1490000</v>
      </c>
      <c r="F4" s="182">
        <v>850000</v>
      </c>
      <c r="G4" s="183">
        <v>890000</v>
      </c>
      <c r="H4" s="183">
        <v>50000</v>
      </c>
      <c r="I4" s="183">
        <v>290000</v>
      </c>
      <c r="J4" s="183">
        <v>410000</v>
      </c>
      <c r="K4" s="183">
        <v>400000</v>
      </c>
      <c r="L4" s="183">
        <v>800000</v>
      </c>
      <c r="M4" s="183">
        <v>950000</v>
      </c>
      <c r="N4" s="183">
        <v>290000</v>
      </c>
      <c r="O4" s="183">
        <v>1250000</v>
      </c>
      <c r="P4" s="183">
        <v>1130000</v>
      </c>
      <c r="Q4" s="183">
        <v>50000</v>
      </c>
      <c r="R4" s="183"/>
      <c r="S4" s="183">
        <v>690000</v>
      </c>
      <c r="T4" s="183">
        <v>1250000</v>
      </c>
      <c r="U4" s="183">
        <v>50000</v>
      </c>
      <c r="V4" s="183">
        <v>50000</v>
      </c>
      <c r="W4" s="183">
        <v>1250000</v>
      </c>
      <c r="X4" s="183">
        <v>1550000</v>
      </c>
      <c r="Y4" s="183">
        <v>50000</v>
      </c>
      <c r="Z4" s="183">
        <v>950000</v>
      </c>
      <c r="AA4" s="183">
        <v>50000</v>
      </c>
      <c r="AB4" s="183"/>
      <c r="AC4" s="183">
        <v>410000</v>
      </c>
      <c r="AD4" s="183">
        <v>410000</v>
      </c>
      <c r="AE4" s="183">
        <v>50000</v>
      </c>
      <c r="AF4" s="183">
        <v>650000</v>
      </c>
      <c r="AG4" s="183">
        <v>770000</v>
      </c>
      <c r="AH4" s="183">
        <v>50000</v>
      </c>
      <c r="AI4" s="183">
        <v>790000</v>
      </c>
      <c r="AJ4" s="183">
        <v>1550000</v>
      </c>
      <c r="AK4" s="183">
        <v>450000</v>
      </c>
      <c r="AL4" s="183"/>
      <c r="AM4" s="183">
        <v>550000</v>
      </c>
      <c r="AN4" s="184">
        <f t="shared" si="1"/>
        <v>33</v>
      </c>
    </row>
    <row r="5" spans="1:40" s="24" customFormat="1" ht="15.75">
      <c r="A5" s="15"/>
      <c r="B5" s="179" t="s">
        <v>35</v>
      </c>
      <c r="C5" s="187">
        <f t="shared" si="0"/>
        <v>19400000</v>
      </c>
      <c r="D5" s="182">
        <v>2050000</v>
      </c>
      <c r="E5" s="182">
        <v>50000</v>
      </c>
      <c r="F5" s="182">
        <v>1250000</v>
      </c>
      <c r="G5" s="183">
        <v>1800000</v>
      </c>
      <c r="H5" s="183">
        <v>1050000</v>
      </c>
      <c r="I5" s="183">
        <v>50000</v>
      </c>
      <c r="J5" s="183">
        <v>1250000</v>
      </c>
      <c r="K5" s="183">
        <v>400000</v>
      </c>
      <c r="L5" s="183">
        <v>50000</v>
      </c>
      <c r="M5" s="183">
        <v>770000</v>
      </c>
      <c r="N5" s="183">
        <v>50000</v>
      </c>
      <c r="O5" s="183">
        <v>50000</v>
      </c>
      <c r="P5" s="183">
        <v>50000</v>
      </c>
      <c r="Q5" s="183">
        <v>50000</v>
      </c>
      <c r="R5" s="183">
        <v>290000</v>
      </c>
      <c r="S5" s="183">
        <v>1010000</v>
      </c>
      <c r="T5" s="183">
        <v>1550000</v>
      </c>
      <c r="U5" s="183">
        <v>150000</v>
      </c>
      <c r="V5" s="183">
        <v>50000</v>
      </c>
      <c r="W5" s="183">
        <v>530000</v>
      </c>
      <c r="X5" s="183">
        <v>1310000</v>
      </c>
      <c r="Y5" s="183">
        <v>150000</v>
      </c>
      <c r="Z5" s="183">
        <v>50000</v>
      </c>
      <c r="AA5" s="183">
        <v>800000</v>
      </c>
      <c r="AB5" s="183">
        <v>50000</v>
      </c>
      <c r="AC5" s="183">
        <v>1250000</v>
      </c>
      <c r="AD5" s="183">
        <v>290000</v>
      </c>
      <c r="AE5" s="183">
        <v>50000</v>
      </c>
      <c r="AF5" s="183"/>
      <c r="AG5" s="183">
        <v>50000</v>
      </c>
      <c r="AH5" s="183">
        <v>530000</v>
      </c>
      <c r="AI5" s="183">
        <v>370000</v>
      </c>
      <c r="AJ5" s="183">
        <v>1250000</v>
      </c>
      <c r="AK5" s="183">
        <v>350000</v>
      </c>
      <c r="AL5" s="183">
        <v>350000</v>
      </c>
      <c r="AM5" s="183">
        <v>50000</v>
      </c>
      <c r="AN5" s="184">
        <f t="shared" si="1"/>
        <v>35</v>
      </c>
    </row>
    <row r="6" spans="2:40" s="25" customFormat="1" ht="15.75">
      <c r="B6" s="168" t="s">
        <v>39</v>
      </c>
      <c r="C6" s="188">
        <f t="shared" si="0"/>
        <v>19190000</v>
      </c>
      <c r="D6" s="183"/>
      <c r="E6" s="183"/>
      <c r="F6" s="183">
        <v>1850000</v>
      </c>
      <c r="G6" s="183">
        <v>470000</v>
      </c>
      <c r="H6" s="183">
        <v>350000</v>
      </c>
      <c r="I6" s="183">
        <v>1250000</v>
      </c>
      <c r="J6" s="183">
        <v>1050000</v>
      </c>
      <c r="K6" s="183">
        <v>50000</v>
      </c>
      <c r="L6" s="183">
        <v>350000</v>
      </c>
      <c r="M6" s="183">
        <v>1250000</v>
      </c>
      <c r="N6" s="183">
        <v>50000</v>
      </c>
      <c r="O6" s="183"/>
      <c r="P6" s="183">
        <v>50000</v>
      </c>
      <c r="Q6" s="183">
        <v>50000</v>
      </c>
      <c r="R6" s="183"/>
      <c r="S6" s="183"/>
      <c r="T6" s="183">
        <v>290000</v>
      </c>
      <c r="U6" s="189">
        <v>1910000</v>
      </c>
      <c r="V6" s="183">
        <v>950000</v>
      </c>
      <c r="W6" s="183">
        <v>850000</v>
      </c>
      <c r="X6" s="183">
        <v>50000</v>
      </c>
      <c r="Y6" s="183">
        <v>650000</v>
      </c>
      <c r="Z6" s="183">
        <v>350000</v>
      </c>
      <c r="AA6" s="183">
        <v>50000</v>
      </c>
      <c r="AB6" s="183">
        <v>950000</v>
      </c>
      <c r="AC6" s="183">
        <v>50000</v>
      </c>
      <c r="AD6" s="183">
        <v>1550000</v>
      </c>
      <c r="AE6" s="183">
        <v>950000</v>
      </c>
      <c r="AF6" s="183">
        <v>290000</v>
      </c>
      <c r="AG6" s="183">
        <v>50000</v>
      </c>
      <c r="AH6" s="183"/>
      <c r="AI6" s="183">
        <v>2530000</v>
      </c>
      <c r="AJ6" s="183">
        <v>50000</v>
      </c>
      <c r="AK6" s="183">
        <v>650000</v>
      </c>
      <c r="AL6" s="183">
        <v>250000</v>
      </c>
      <c r="AM6" s="183"/>
      <c r="AN6" s="184">
        <f t="shared" si="1"/>
        <v>29</v>
      </c>
    </row>
    <row r="7" spans="1:40" s="25" customFormat="1" ht="15.75">
      <c r="A7" s="15"/>
      <c r="B7" s="13" t="s">
        <v>31</v>
      </c>
      <c r="C7" s="190">
        <f t="shared" si="0"/>
        <v>18620000</v>
      </c>
      <c r="D7" s="183">
        <v>1250000</v>
      </c>
      <c r="E7" s="183">
        <v>50000</v>
      </c>
      <c r="F7" s="183">
        <v>530000</v>
      </c>
      <c r="G7" s="183"/>
      <c r="H7" s="183"/>
      <c r="I7" s="183">
        <v>890000</v>
      </c>
      <c r="J7" s="183"/>
      <c r="K7" s="183">
        <v>50000</v>
      </c>
      <c r="L7" s="183">
        <v>1300000</v>
      </c>
      <c r="M7" s="183">
        <v>1910000</v>
      </c>
      <c r="N7" s="183">
        <v>770000</v>
      </c>
      <c r="O7" s="183">
        <v>50000</v>
      </c>
      <c r="P7" s="183">
        <v>50000</v>
      </c>
      <c r="Q7" s="183">
        <v>530000</v>
      </c>
      <c r="R7" s="183">
        <v>410000</v>
      </c>
      <c r="S7" s="183">
        <v>1650000</v>
      </c>
      <c r="T7" s="183"/>
      <c r="U7" s="183">
        <v>530000</v>
      </c>
      <c r="V7" s="183">
        <v>50000</v>
      </c>
      <c r="W7" s="183">
        <v>1010000</v>
      </c>
      <c r="X7" s="183">
        <v>290000</v>
      </c>
      <c r="Y7" s="183">
        <v>770000</v>
      </c>
      <c r="Z7" s="183">
        <v>350000</v>
      </c>
      <c r="AA7" s="183">
        <v>50000</v>
      </c>
      <c r="AB7" s="183">
        <v>530000</v>
      </c>
      <c r="AC7" s="183">
        <v>290000</v>
      </c>
      <c r="AD7" s="183"/>
      <c r="AE7" s="183">
        <v>50000</v>
      </c>
      <c r="AF7" s="183">
        <v>530000</v>
      </c>
      <c r="AG7" s="183">
        <v>1250000</v>
      </c>
      <c r="AH7" s="183">
        <v>1250000</v>
      </c>
      <c r="AI7" s="183">
        <v>530000</v>
      </c>
      <c r="AJ7" s="183">
        <v>650000</v>
      </c>
      <c r="AK7" s="183">
        <v>800000</v>
      </c>
      <c r="AL7" s="183"/>
      <c r="AM7" s="183">
        <v>250000</v>
      </c>
      <c r="AN7" s="184">
        <f t="shared" si="1"/>
        <v>30</v>
      </c>
    </row>
    <row r="8" spans="2:40" ht="15.75">
      <c r="B8" s="13" t="s">
        <v>43</v>
      </c>
      <c r="C8" s="190">
        <f t="shared" si="0"/>
        <v>18380000</v>
      </c>
      <c r="D8" s="183">
        <v>50000</v>
      </c>
      <c r="E8" s="183">
        <v>1850000</v>
      </c>
      <c r="F8" s="183">
        <v>2050000</v>
      </c>
      <c r="G8" s="183">
        <v>470000</v>
      </c>
      <c r="H8" s="183">
        <v>50000</v>
      </c>
      <c r="I8" s="183">
        <v>650000</v>
      </c>
      <c r="J8" s="183">
        <v>1650000</v>
      </c>
      <c r="K8" s="183">
        <v>50000</v>
      </c>
      <c r="L8" s="183">
        <v>450000</v>
      </c>
      <c r="M8" s="183">
        <v>50000</v>
      </c>
      <c r="N8" s="183">
        <v>410000</v>
      </c>
      <c r="O8" s="183">
        <v>1010000</v>
      </c>
      <c r="P8" s="183">
        <v>50000</v>
      </c>
      <c r="Q8" s="183">
        <v>50000</v>
      </c>
      <c r="R8" s="183">
        <v>530000</v>
      </c>
      <c r="S8" s="183"/>
      <c r="T8" s="183">
        <v>890000</v>
      </c>
      <c r="U8" s="183">
        <v>770000</v>
      </c>
      <c r="V8" s="183">
        <v>350000</v>
      </c>
      <c r="W8" s="183">
        <v>50000</v>
      </c>
      <c r="X8" s="183">
        <v>50000</v>
      </c>
      <c r="Y8" s="183">
        <v>530000</v>
      </c>
      <c r="Z8" s="183">
        <v>50000</v>
      </c>
      <c r="AA8" s="183">
        <v>550000</v>
      </c>
      <c r="AB8" s="183">
        <v>50000</v>
      </c>
      <c r="AC8" s="183">
        <v>650000</v>
      </c>
      <c r="AD8" s="183">
        <v>50000</v>
      </c>
      <c r="AE8" s="183">
        <v>770000</v>
      </c>
      <c r="AF8" s="183">
        <v>1550000</v>
      </c>
      <c r="AG8" s="183">
        <v>950000</v>
      </c>
      <c r="AH8" s="183">
        <v>50000</v>
      </c>
      <c r="AI8" s="183">
        <v>50000</v>
      </c>
      <c r="AJ8" s="183">
        <v>50000</v>
      </c>
      <c r="AK8" s="183">
        <v>250000</v>
      </c>
      <c r="AL8" s="183">
        <v>1300000</v>
      </c>
      <c r="AM8" s="183">
        <v>50000</v>
      </c>
      <c r="AN8" s="184">
        <f t="shared" si="1"/>
        <v>35</v>
      </c>
    </row>
    <row r="9" spans="2:40" ht="15.75">
      <c r="B9" s="13" t="s">
        <v>11</v>
      </c>
      <c r="C9" s="190">
        <f t="shared" si="0"/>
        <v>16910000</v>
      </c>
      <c r="D9" s="183">
        <v>650000</v>
      </c>
      <c r="E9" s="183">
        <v>50000</v>
      </c>
      <c r="F9" s="183">
        <v>50000</v>
      </c>
      <c r="G9" s="183"/>
      <c r="H9" s="183">
        <v>800000</v>
      </c>
      <c r="I9" s="183">
        <v>1550000</v>
      </c>
      <c r="J9" s="183"/>
      <c r="K9" s="183">
        <v>400000</v>
      </c>
      <c r="L9" s="183">
        <v>850000</v>
      </c>
      <c r="M9" s="183">
        <v>410000</v>
      </c>
      <c r="N9" s="183">
        <v>410000</v>
      </c>
      <c r="O9" s="183">
        <v>50000</v>
      </c>
      <c r="P9" s="183"/>
      <c r="Q9" s="183">
        <v>1550000</v>
      </c>
      <c r="R9" s="183">
        <v>770000</v>
      </c>
      <c r="S9" s="183">
        <v>2050000</v>
      </c>
      <c r="T9" s="183">
        <v>50000</v>
      </c>
      <c r="U9" s="183">
        <v>50000</v>
      </c>
      <c r="V9" s="183">
        <v>50000</v>
      </c>
      <c r="W9" s="183">
        <v>2050000</v>
      </c>
      <c r="X9" s="183">
        <v>50000</v>
      </c>
      <c r="Y9" s="183"/>
      <c r="Z9" s="183"/>
      <c r="AA9" s="183">
        <v>50000</v>
      </c>
      <c r="AB9" s="183">
        <v>290000</v>
      </c>
      <c r="AC9" s="183">
        <v>50000</v>
      </c>
      <c r="AD9" s="183"/>
      <c r="AE9" s="183">
        <v>530000</v>
      </c>
      <c r="AF9" s="183"/>
      <c r="AG9" s="183">
        <v>650000</v>
      </c>
      <c r="AH9" s="183">
        <v>950000</v>
      </c>
      <c r="AI9" s="183">
        <v>1450000</v>
      </c>
      <c r="AJ9" s="183">
        <v>50000</v>
      </c>
      <c r="AK9" s="183">
        <v>50000</v>
      </c>
      <c r="AL9" s="183">
        <v>550000</v>
      </c>
      <c r="AM9" s="183">
        <v>450000</v>
      </c>
      <c r="AN9" s="184">
        <f t="shared" si="1"/>
        <v>29</v>
      </c>
    </row>
    <row r="10" spans="2:40" ht="15.75">
      <c r="B10" s="13" t="s">
        <v>19</v>
      </c>
      <c r="C10" s="190">
        <f t="shared" si="0"/>
        <v>13790000</v>
      </c>
      <c r="D10" s="183">
        <v>1450000</v>
      </c>
      <c r="E10" s="183">
        <v>50000</v>
      </c>
      <c r="F10" s="183">
        <v>50000</v>
      </c>
      <c r="G10" s="183">
        <v>610000</v>
      </c>
      <c r="H10" s="183">
        <v>350000</v>
      </c>
      <c r="I10" s="183">
        <v>50000</v>
      </c>
      <c r="J10" s="183">
        <v>50000</v>
      </c>
      <c r="K10" s="183">
        <v>50000</v>
      </c>
      <c r="L10" s="183">
        <v>50000</v>
      </c>
      <c r="M10" s="183">
        <v>50000</v>
      </c>
      <c r="N10" s="183">
        <v>50000</v>
      </c>
      <c r="O10" s="183"/>
      <c r="P10" s="183">
        <v>50000</v>
      </c>
      <c r="Q10" s="183">
        <v>290000</v>
      </c>
      <c r="R10" s="183"/>
      <c r="S10" s="183">
        <v>1250000</v>
      </c>
      <c r="T10" s="183">
        <v>770000</v>
      </c>
      <c r="U10" s="183">
        <v>50000</v>
      </c>
      <c r="V10" s="183">
        <v>950000</v>
      </c>
      <c r="W10" s="183">
        <v>1650000</v>
      </c>
      <c r="X10" s="183">
        <v>50000</v>
      </c>
      <c r="Y10" s="183">
        <v>50000</v>
      </c>
      <c r="Z10" s="183">
        <v>550000</v>
      </c>
      <c r="AA10" s="183">
        <v>50000</v>
      </c>
      <c r="AB10" s="183">
        <v>50000</v>
      </c>
      <c r="AC10" s="183">
        <v>770000</v>
      </c>
      <c r="AD10" s="183">
        <v>530000</v>
      </c>
      <c r="AE10" s="183">
        <v>1650000</v>
      </c>
      <c r="AF10" s="183">
        <v>50000</v>
      </c>
      <c r="AG10" s="183"/>
      <c r="AH10" s="183">
        <v>1010000</v>
      </c>
      <c r="AI10" s="183">
        <v>50000</v>
      </c>
      <c r="AJ10" s="183">
        <v>410000</v>
      </c>
      <c r="AK10" s="183">
        <v>50000</v>
      </c>
      <c r="AL10" s="183">
        <v>650000</v>
      </c>
      <c r="AM10" s="183">
        <v>50000</v>
      </c>
      <c r="AN10" s="184">
        <f t="shared" si="1"/>
        <v>33</v>
      </c>
    </row>
    <row r="11" spans="2:40" ht="15.75">
      <c r="B11" s="13" t="s">
        <v>9</v>
      </c>
      <c r="C11" s="190">
        <f t="shared" si="0"/>
        <v>11910000</v>
      </c>
      <c r="D11" s="183">
        <v>650000</v>
      </c>
      <c r="E11" s="183">
        <v>2300000</v>
      </c>
      <c r="F11" s="183"/>
      <c r="G11" s="183"/>
      <c r="H11" s="183">
        <v>50000</v>
      </c>
      <c r="I11" s="183">
        <v>50000</v>
      </c>
      <c r="J11" s="183">
        <v>770000</v>
      </c>
      <c r="K11" s="183">
        <v>400000</v>
      </c>
      <c r="L11" s="183"/>
      <c r="M11" s="183"/>
      <c r="N11" s="183">
        <v>50000</v>
      </c>
      <c r="O11" s="183">
        <v>370000</v>
      </c>
      <c r="P11" s="183">
        <v>290000</v>
      </c>
      <c r="Q11" s="183">
        <v>770000</v>
      </c>
      <c r="R11" s="183">
        <v>1250000</v>
      </c>
      <c r="S11" s="183">
        <v>530000</v>
      </c>
      <c r="T11" s="183"/>
      <c r="U11" s="183"/>
      <c r="V11" s="183">
        <v>1250000</v>
      </c>
      <c r="W11" s="183">
        <v>50000</v>
      </c>
      <c r="X11" s="183">
        <v>50000</v>
      </c>
      <c r="Y11" s="183"/>
      <c r="Z11" s="183"/>
      <c r="AA11" s="183"/>
      <c r="AB11" s="183"/>
      <c r="AC11" s="183">
        <v>50000</v>
      </c>
      <c r="AD11" s="183"/>
      <c r="AE11" s="183">
        <v>50000</v>
      </c>
      <c r="AF11" s="183"/>
      <c r="AG11" s="183">
        <v>530000</v>
      </c>
      <c r="AH11" s="183"/>
      <c r="AI11" s="183">
        <v>50000</v>
      </c>
      <c r="AJ11" s="183">
        <v>1050000</v>
      </c>
      <c r="AK11" s="183">
        <v>1300000</v>
      </c>
      <c r="AL11" s="183"/>
      <c r="AM11" s="183">
        <v>50000</v>
      </c>
      <c r="AN11" s="184">
        <f t="shared" si="1"/>
        <v>22</v>
      </c>
    </row>
    <row r="12" spans="2:40" ht="15.75">
      <c r="B12" s="13" t="s">
        <v>334</v>
      </c>
      <c r="C12" s="190">
        <f t="shared" si="0"/>
        <v>11360000</v>
      </c>
      <c r="D12" s="183">
        <v>1550000</v>
      </c>
      <c r="E12" s="183">
        <v>1130000</v>
      </c>
      <c r="F12" s="183">
        <v>1010000</v>
      </c>
      <c r="G12" s="183">
        <v>330000</v>
      </c>
      <c r="H12" s="183">
        <v>1300000</v>
      </c>
      <c r="I12" s="183"/>
      <c r="J12" s="183"/>
      <c r="K12" s="183"/>
      <c r="L12" s="183"/>
      <c r="M12" s="183"/>
      <c r="N12" s="183"/>
      <c r="O12" s="183">
        <v>850000</v>
      </c>
      <c r="P12" s="183"/>
      <c r="Q12" s="183"/>
      <c r="R12" s="183"/>
      <c r="S12" s="183"/>
      <c r="T12" s="183"/>
      <c r="U12" s="183"/>
      <c r="V12" s="183"/>
      <c r="W12" s="183">
        <v>50000</v>
      </c>
      <c r="X12" s="183"/>
      <c r="Y12" s="183">
        <v>1310000</v>
      </c>
      <c r="Z12" s="183"/>
      <c r="AA12" s="183"/>
      <c r="AB12" s="183"/>
      <c r="AC12" s="183"/>
      <c r="AD12" s="183"/>
      <c r="AE12" s="183">
        <v>510000</v>
      </c>
      <c r="AF12" s="183">
        <v>1250000</v>
      </c>
      <c r="AG12" s="183"/>
      <c r="AH12" s="183"/>
      <c r="AI12" s="183">
        <v>150000</v>
      </c>
      <c r="AJ12" s="183">
        <v>870000</v>
      </c>
      <c r="AK12" s="183">
        <v>1050000</v>
      </c>
      <c r="AL12" s="183"/>
      <c r="AM12" s="183"/>
      <c r="AN12" s="184">
        <f t="shared" si="1"/>
        <v>13</v>
      </c>
    </row>
    <row r="13" spans="2:40" s="25" customFormat="1" ht="15.75">
      <c r="B13" s="13" t="s">
        <v>37</v>
      </c>
      <c r="C13" s="190">
        <f t="shared" si="0"/>
        <v>11280000</v>
      </c>
      <c r="D13" s="183"/>
      <c r="E13" s="183"/>
      <c r="F13" s="183"/>
      <c r="G13" s="183"/>
      <c r="H13" s="183"/>
      <c r="I13" s="183">
        <v>50000</v>
      </c>
      <c r="J13" s="183"/>
      <c r="K13" s="183">
        <v>50000</v>
      </c>
      <c r="L13" s="183">
        <v>50000</v>
      </c>
      <c r="M13" s="183"/>
      <c r="N13" s="183">
        <v>1550000</v>
      </c>
      <c r="O13" s="183"/>
      <c r="P13" s="183">
        <v>50000</v>
      </c>
      <c r="Q13" s="183">
        <v>950000</v>
      </c>
      <c r="R13" s="183"/>
      <c r="S13" s="183">
        <v>50000</v>
      </c>
      <c r="T13" s="183">
        <v>950000</v>
      </c>
      <c r="U13" s="183">
        <v>1250000</v>
      </c>
      <c r="V13" s="183">
        <v>50000</v>
      </c>
      <c r="W13" s="183">
        <v>370000</v>
      </c>
      <c r="X13" s="183">
        <v>1250000</v>
      </c>
      <c r="Y13" s="183">
        <v>1650000</v>
      </c>
      <c r="Z13" s="183">
        <v>50000</v>
      </c>
      <c r="AA13" s="183">
        <v>1050000</v>
      </c>
      <c r="AB13" s="183">
        <v>50000</v>
      </c>
      <c r="AC13" s="183">
        <v>50000</v>
      </c>
      <c r="AD13" s="183">
        <v>50000</v>
      </c>
      <c r="AE13" s="183"/>
      <c r="AF13" s="183"/>
      <c r="AG13" s="183"/>
      <c r="AH13" s="183">
        <v>410000</v>
      </c>
      <c r="AI13" s="183">
        <v>50000</v>
      </c>
      <c r="AJ13" s="183"/>
      <c r="AK13" s="183"/>
      <c r="AL13" s="183"/>
      <c r="AM13" s="183">
        <v>1300000</v>
      </c>
      <c r="AN13" s="184">
        <f t="shared" si="1"/>
        <v>21</v>
      </c>
    </row>
    <row r="14" spans="2:40" ht="15.75">
      <c r="B14" s="13" t="s">
        <v>41</v>
      </c>
      <c r="C14" s="190">
        <f t="shared" si="0"/>
        <v>11000000</v>
      </c>
      <c r="D14" s="183">
        <v>50000</v>
      </c>
      <c r="E14" s="183">
        <v>50000</v>
      </c>
      <c r="F14" s="183"/>
      <c r="G14" s="183">
        <v>50000</v>
      </c>
      <c r="H14" s="183">
        <v>650000</v>
      </c>
      <c r="I14" s="183">
        <v>770000</v>
      </c>
      <c r="J14" s="183"/>
      <c r="K14" s="183">
        <v>950000</v>
      </c>
      <c r="L14" s="183">
        <v>50000</v>
      </c>
      <c r="M14" s="183">
        <v>290000</v>
      </c>
      <c r="N14" s="183">
        <v>50000</v>
      </c>
      <c r="O14" s="183">
        <v>50000</v>
      </c>
      <c r="P14" s="183">
        <v>1650000</v>
      </c>
      <c r="Q14" s="183">
        <v>50000</v>
      </c>
      <c r="R14" s="183">
        <v>650000</v>
      </c>
      <c r="S14" s="183"/>
      <c r="T14" s="183"/>
      <c r="U14" s="186"/>
      <c r="V14" s="183"/>
      <c r="W14" s="183">
        <v>50000</v>
      </c>
      <c r="X14" s="183">
        <v>650000</v>
      </c>
      <c r="Y14" s="183">
        <v>50000</v>
      </c>
      <c r="Z14" s="183">
        <v>800000</v>
      </c>
      <c r="AA14" s="183">
        <v>1050000</v>
      </c>
      <c r="AB14" s="183">
        <v>50000</v>
      </c>
      <c r="AC14" s="183">
        <v>530000</v>
      </c>
      <c r="AD14" s="183"/>
      <c r="AE14" s="183"/>
      <c r="AF14" s="183">
        <v>770000</v>
      </c>
      <c r="AG14" s="183"/>
      <c r="AH14" s="183">
        <v>290000</v>
      </c>
      <c r="AI14" s="183">
        <v>850000</v>
      </c>
      <c r="AJ14" s="183"/>
      <c r="AK14" s="183">
        <v>550000</v>
      </c>
      <c r="AL14" s="183">
        <v>50000</v>
      </c>
      <c r="AM14" s="183"/>
      <c r="AN14" s="184">
        <f>COUNTIF(G14:AM14,"&gt;0")</f>
        <v>23</v>
      </c>
    </row>
    <row r="15" spans="1:40" s="25" customFormat="1" ht="15.75">
      <c r="A15" s="15"/>
      <c r="B15" s="13" t="s">
        <v>13</v>
      </c>
      <c r="C15" s="190">
        <f t="shared" si="0"/>
        <v>10500000</v>
      </c>
      <c r="D15" s="183">
        <v>1050000</v>
      </c>
      <c r="E15" s="183">
        <v>50000</v>
      </c>
      <c r="F15" s="183">
        <v>370000</v>
      </c>
      <c r="G15" s="183">
        <v>750000</v>
      </c>
      <c r="H15" s="183"/>
      <c r="I15" s="183">
        <v>950000</v>
      </c>
      <c r="J15" s="183"/>
      <c r="K15" s="183">
        <v>50000</v>
      </c>
      <c r="L15" s="183">
        <v>250000</v>
      </c>
      <c r="M15" s="183">
        <v>50000</v>
      </c>
      <c r="N15" s="183">
        <v>50000</v>
      </c>
      <c r="O15" s="183">
        <v>50000</v>
      </c>
      <c r="P15" s="183">
        <v>50000</v>
      </c>
      <c r="Q15" s="183">
        <v>1250000</v>
      </c>
      <c r="R15" s="183"/>
      <c r="S15" s="183"/>
      <c r="T15" s="183"/>
      <c r="U15" s="183"/>
      <c r="V15" s="183">
        <v>650000</v>
      </c>
      <c r="W15" s="183"/>
      <c r="X15" s="183">
        <v>770000</v>
      </c>
      <c r="Y15" s="183">
        <v>50000</v>
      </c>
      <c r="Z15" s="183">
        <v>450000</v>
      </c>
      <c r="AA15" s="183">
        <v>800000</v>
      </c>
      <c r="AB15" s="183">
        <v>1550000</v>
      </c>
      <c r="AC15" s="183">
        <v>50000</v>
      </c>
      <c r="AD15" s="183">
        <v>50000</v>
      </c>
      <c r="AE15" s="183">
        <v>410000</v>
      </c>
      <c r="AF15" s="183">
        <v>50000</v>
      </c>
      <c r="AG15" s="183"/>
      <c r="AH15" s="183"/>
      <c r="AI15" s="183">
        <v>50000</v>
      </c>
      <c r="AJ15" s="183"/>
      <c r="AK15" s="183"/>
      <c r="AL15" s="183">
        <v>50000</v>
      </c>
      <c r="AM15" s="183">
        <v>650000</v>
      </c>
      <c r="AN15" s="184">
        <f aca="true" t="shared" si="2" ref="AN15:AN20">COUNTIF(D15:AM15,"&gt;0")</f>
        <v>25</v>
      </c>
    </row>
    <row r="16" spans="2:40" ht="15.75">
      <c r="B16" s="13" t="s">
        <v>53</v>
      </c>
      <c r="C16" s="190">
        <f t="shared" si="0"/>
        <v>9890000</v>
      </c>
      <c r="D16" s="183"/>
      <c r="E16" s="183">
        <v>770000</v>
      </c>
      <c r="F16" s="183">
        <v>530000</v>
      </c>
      <c r="G16" s="183"/>
      <c r="H16" s="183"/>
      <c r="I16" s="183"/>
      <c r="J16" s="183"/>
      <c r="K16" s="183">
        <v>50000</v>
      </c>
      <c r="L16" s="183">
        <v>350000</v>
      </c>
      <c r="M16" s="183"/>
      <c r="N16" s="183">
        <v>1250000</v>
      </c>
      <c r="O16" s="183"/>
      <c r="P16" s="183">
        <v>50000</v>
      </c>
      <c r="Q16" s="183"/>
      <c r="R16" s="183"/>
      <c r="S16" s="183"/>
      <c r="T16" s="183"/>
      <c r="U16" s="183">
        <v>950000</v>
      </c>
      <c r="V16" s="183">
        <v>350000</v>
      </c>
      <c r="W16" s="183"/>
      <c r="X16" s="183">
        <v>530000</v>
      </c>
      <c r="Y16" s="183">
        <v>410000</v>
      </c>
      <c r="Z16" s="183"/>
      <c r="AA16" s="183"/>
      <c r="AB16" s="183">
        <v>1610000</v>
      </c>
      <c r="AC16" s="183"/>
      <c r="AD16" s="183">
        <v>650000</v>
      </c>
      <c r="AE16" s="183"/>
      <c r="AF16" s="183">
        <v>770000</v>
      </c>
      <c r="AG16" s="183"/>
      <c r="AH16" s="183">
        <v>770000</v>
      </c>
      <c r="AI16" s="183"/>
      <c r="AJ16" s="183"/>
      <c r="AK16" s="183"/>
      <c r="AL16" s="183">
        <v>50000</v>
      </c>
      <c r="AM16" s="183">
        <v>800000</v>
      </c>
      <c r="AN16" s="184">
        <f t="shared" si="2"/>
        <v>16</v>
      </c>
    </row>
    <row r="17" spans="2:40" ht="15.75">
      <c r="B17" s="13" t="s">
        <v>17</v>
      </c>
      <c r="C17" s="190">
        <f t="shared" si="0"/>
        <v>8470000</v>
      </c>
      <c r="D17" s="183">
        <v>50000</v>
      </c>
      <c r="E17" s="183">
        <v>1400000</v>
      </c>
      <c r="F17" s="183"/>
      <c r="G17" s="183">
        <v>1450000</v>
      </c>
      <c r="H17" s="183">
        <v>50000</v>
      </c>
      <c r="I17" s="183">
        <v>50000</v>
      </c>
      <c r="J17" s="183">
        <v>50000</v>
      </c>
      <c r="K17" s="183">
        <v>950000</v>
      </c>
      <c r="L17" s="183">
        <v>350000</v>
      </c>
      <c r="M17" s="183">
        <v>50000</v>
      </c>
      <c r="N17" s="183">
        <v>50000</v>
      </c>
      <c r="O17" s="183">
        <v>690000</v>
      </c>
      <c r="P17" s="183">
        <v>50000</v>
      </c>
      <c r="Q17" s="183">
        <v>410000</v>
      </c>
      <c r="R17" s="183"/>
      <c r="S17" s="183"/>
      <c r="T17" s="183"/>
      <c r="U17" s="183"/>
      <c r="V17" s="183">
        <v>50000</v>
      </c>
      <c r="W17" s="183">
        <v>50000</v>
      </c>
      <c r="X17" s="183">
        <v>50000</v>
      </c>
      <c r="Y17" s="183"/>
      <c r="Z17" s="183">
        <v>50000</v>
      </c>
      <c r="AA17" s="183">
        <v>50000</v>
      </c>
      <c r="AB17" s="183">
        <v>50000</v>
      </c>
      <c r="AC17" s="183">
        <v>50000</v>
      </c>
      <c r="AD17" s="183">
        <v>770000</v>
      </c>
      <c r="AE17" s="183">
        <v>50000</v>
      </c>
      <c r="AF17" s="183"/>
      <c r="AG17" s="183">
        <v>1550000</v>
      </c>
      <c r="AH17" s="183">
        <v>50000</v>
      </c>
      <c r="AI17" s="183"/>
      <c r="AJ17" s="183">
        <v>50000</v>
      </c>
      <c r="AK17" s="183">
        <v>50000</v>
      </c>
      <c r="AL17" s="183"/>
      <c r="AM17" s="183"/>
      <c r="AN17" s="184">
        <f t="shared" si="2"/>
        <v>26</v>
      </c>
    </row>
    <row r="18" spans="2:40" ht="15.75">
      <c r="B18" s="13" t="s">
        <v>21</v>
      </c>
      <c r="C18" s="190">
        <f t="shared" si="0"/>
        <v>8240000</v>
      </c>
      <c r="D18" s="183">
        <v>1650000</v>
      </c>
      <c r="E18" s="183"/>
      <c r="F18" s="183"/>
      <c r="G18" s="183"/>
      <c r="H18" s="183"/>
      <c r="I18" s="183"/>
      <c r="J18" s="183"/>
      <c r="K18" s="183"/>
      <c r="L18" s="183">
        <v>50000</v>
      </c>
      <c r="M18" s="183">
        <v>50000</v>
      </c>
      <c r="N18" s="183">
        <v>950000</v>
      </c>
      <c r="O18" s="183">
        <v>2530000</v>
      </c>
      <c r="P18" s="183">
        <v>790000</v>
      </c>
      <c r="Q18" s="183"/>
      <c r="R18" s="183"/>
      <c r="S18" s="183"/>
      <c r="T18" s="183"/>
      <c r="U18" s="183">
        <v>410000</v>
      </c>
      <c r="V18" s="183">
        <v>50000</v>
      </c>
      <c r="W18" s="183">
        <v>530000</v>
      </c>
      <c r="X18" s="183"/>
      <c r="Y18" s="183"/>
      <c r="Z18" s="183">
        <v>50000</v>
      </c>
      <c r="AA18" s="183">
        <v>550000</v>
      </c>
      <c r="AB18" s="183"/>
      <c r="AC18" s="183"/>
      <c r="AD18" s="183">
        <v>50000</v>
      </c>
      <c r="AE18" s="183"/>
      <c r="AF18" s="183"/>
      <c r="AG18" s="183"/>
      <c r="AH18" s="183"/>
      <c r="AI18" s="183">
        <v>50000</v>
      </c>
      <c r="AJ18" s="183">
        <v>530000</v>
      </c>
      <c r="AK18" s="183"/>
      <c r="AL18" s="183"/>
      <c r="AM18" s="183"/>
      <c r="AN18" s="184">
        <f t="shared" si="2"/>
        <v>14</v>
      </c>
    </row>
    <row r="19" spans="1:40" ht="15.75">
      <c r="A19" s="25"/>
      <c r="B19" s="13" t="s">
        <v>33</v>
      </c>
      <c r="C19" s="190">
        <f t="shared" si="0"/>
        <v>7140000</v>
      </c>
      <c r="D19" s="183">
        <v>50000</v>
      </c>
      <c r="E19" s="183">
        <v>410000</v>
      </c>
      <c r="F19" s="183">
        <v>50000</v>
      </c>
      <c r="G19" s="183"/>
      <c r="H19" s="183">
        <v>450000</v>
      </c>
      <c r="I19" s="183"/>
      <c r="J19" s="183">
        <v>390000</v>
      </c>
      <c r="K19" s="183">
        <v>50000</v>
      </c>
      <c r="L19" s="183">
        <v>650000</v>
      </c>
      <c r="M19" s="183"/>
      <c r="N19" s="183"/>
      <c r="O19" s="183">
        <v>530000</v>
      </c>
      <c r="P19" s="183">
        <v>50000</v>
      </c>
      <c r="Q19" s="183"/>
      <c r="R19" s="183"/>
      <c r="S19" s="183"/>
      <c r="T19" s="183"/>
      <c r="U19" s="183"/>
      <c r="V19" s="183">
        <v>650000</v>
      </c>
      <c r="W19" s="183"/>
      <c r="X19" s="183"/>
      <c r="Y19" s="183"/>
      <c r="Z19" s="183"/>
      <c r="AA19" s="183"/>
      <c r="AB19" s="183">
        <v>410000</v>
      </c>
      <c r="AC19" s="183">
        <v>50000</v>
      </c>
      <c r="AD19" s="183">
        <v>950000</v>
      </c>
      <c r="AE19" s="183"/>
      <c r="AF19" s="183">
        <v>50000</v>
      </c>
      <c r="AG19" s="183">
        <v>50000</v>
      </c>
      <c r="AH19" s="183">
        <v>1550000</v>
      </c>
      <c r="AI19" s="183"/>
      <c r="AJ19" s="183"/>
      <c r="AK19" s="183"/>
      <c r="AL19" s="183">
        <v>800000</v>
      </c>
      <c r="AM19" s="183"/>
      <c r="AN19" s="184">
        <f t="shared" si="2"/>
        <v>17</v>
      </c>
    </row>
    <row r="20" spans="2:40" ht="15.75">
      <c r="B20" s="13" t="s">
        <v>23</v>
      </c>
      <c r="C20" s="190">
        <f t="shared" si="0"/>
        <v>6540000</v>
      </c>
      <c r="D20" s="183">
        <v>50000</v>
      </c>
      <c r="E20" s="183"/>
      <c r="F20" s="183"/>
      <c r="G20" s="183"/>
      <c r="H20" s="183">
        <v>50000</v>
      </c>
      <c r="I20" s="183"/>
      <c r="J20" s="183">
        <v>650000</v>
      </c>
      <c r="K20" s="183">
        <v>50000</v>
      </c>
      <c r="L20" s="183">
        <v>750000</v>
      </c>
      <c r="M20" s="183"/>
      <c r="N20" s="183">
        <v>50000</v>
      </c>
      <c r="O20" s="183">
        <v>50000</v>
      </c>
      <c r="P20" s="183">
        <v>50000</v>
      </c>
      <c r="Q20" s="183"/>
      <c r="R20" s="183"/>
      <c r="S20" s="183"/>
      <c r="T20" s="183"/>
      <c r="U20" s="183">
        <v>50000</v>
      </c>
      <c r="V20" s="183"/>
      <c r="W20" s="183">
        <v>690000</v>
      </c>
      <c r="X20" s="183">
        <v>50000</v>
      </c>
      <c r="Y20" s="183"/>
      <c r="Z20" s="183">
        <v>550000</v>
      </c>
      <c r="AA20" s="183">
        <v>300000</v>
      </c>
      <c r="AB20" s="183">
        <v>650000</v>
      </c>
      <c r="AC20" s="183">
        <v>1550000</v>
      </c>
      <c r="AD20" s="183"/>
      <c r="AE20" s="183">
        <v>50000</v>
      </c>
      <c r="AF20" s="183">
        <v>950000</v>
      </c>
      <c r="AG20" s="183"/>
      <c r="AH20" s="183"/>
      <c r="AI20" s="183"/>
      <c r="AJ20" s="183"/>
      <c r="AK20" s="183"/>
      <c r="AL20" s="183"/>
      <c r="AM20" s="183"/>
      <c r="AN20" s="184">
        <f t="shared" si="2"/>
        <v>17</v>
      </c>
    </row>
    <row r="21" spans="2:40" ht="15.75">
      <c r="B21" s="13" t="s">
        <v>15</v>
      </c>
      <c r="C21" s="190">
        <f t="shared" si="0"/>
        <v>5150000</v>
      </c>
      <c r="D21" s="183">
        <v>1250000</v>
      </c>
      <c r="E21" s="183"/>
      <c r="F21" s="183">
        <v>50000</v>
      </c>
      <c r="G21" s="183"/>
      <c r="H21" s="183"/>
      <c r="I21" s="183">
        <v>50000</v>
      </c>
      <c r="J21" s="183"/>
      <c r="K21" s="183"/>
      <c r="L21" s="183"/>
      <c r="M21" s="183"/>
      <c r="N21" s="183"/>
      <c r="O21" s="183"/>
      <c r="P21" s="183">
        <v>1450000</v>
      </c>
      <c r="Q21" s="183"/>
      <c r="R21" s="183"/>
      <c r="S21" s="183"/>
      <c r="T21" s="183"/>
      <c r="U21" s="183">
        <v>50000</v>
      </c>
      <c r="V21" s="183">
        <v>410000</v>
      </c>
      <c r="W21" s="183"/>
      <c r="X21" s="183"/>
      <c r="Y21" s="183"/>
      <c r="Z21" s="183">
        <v>1350000</v>
      </c>
      <c r="AA21" s="183">
        <v>50000</v>
      </c>
      <c r="AB21" s="183"/>
      <c r="AC21" s="183"/>
      <c r="AD21" s="183"/>
      <c r="AE21" s="183">
        <v>390000</v>
      </c>
      <c r="AF21" s="183"/>
      <c r="AG21" s="183">
        <v>50000</v>
      </c>
      <c r="AH21" s="183">
        <v>50000</v>
      </c>
      <c r="AI21" s="351"/>
      <c r="AJ21" s="183"/>
      <c r="AK21" s="183"/>
      <c r="AL21" s="183"/>
      <c r="AM21" s="183"/>
      <c r="AN21" s="184">
        <f>COUNTIF(G21:AM21,"&gt;0")</f>
        <v>9</v>
      </c>
    </row>
    <row r="22" spans="2:40" ht="15.75">
      <c r="B22" s="13" t="s">
        <v>27</v>
      </c>
      <c r="C22" s="190">
        <f t="shared" si="0"/>
        <v>5140000</v>
      </c>
      <c r="D22" s="183">
        <v>50000</v>
      </c>
      <c r="E22" s="183"/>
      <c r="F22" s="183"/>
      <c r="G22" s="183"/>
      <c r="H22" s="183">
        <v>50000</v>
      </c>
      <c r="I22" s="183">
        <v>410000</v>
      </c>
      <c r="J22" s="183">
        <v>50000</v>
      </c>
      <c r="K22" s="183">
        <v>50000</v>
      </c>
      <c r="L22" s="183">
        <v>50000</v>
      </c>
      <c r="M22" s="183">
        <v>50000</v>
      </c>
      <c r="N22" s="183">
        <v>530000</v>
      </c>
      <c r="O22" s="183">
        <v>50000</v>
      </c>
      <c r="P22" s="183">
        <v>50000</v>
      </c>
      <c r="Q22" s="183"/>
      <c r="R22" s="183"/>
      <c r="S22" s="183"/>
      <c r="T22" s="183">
        <v>50000</v>
      </c>
      <c r="U22" s="183">
        <v>290000</v>
      </c>
      <c r="V22" s="183">
        <v>50000</v>
      </c>
      <c r="W22" s="183">
        <v>50000</v>
      </c>
      <c r="X22" s="183">
        <v>50000</v>
      </c>
      <c r="Y22" s="183">
        <v>50000</v>
      </c>
      <c r="Z22" s="183"/>
      <c r="AA22" s="183"/>
      <c r="AB22" s="183"/>
      <c r="AC22" s="183">
        <v>50000</v>
      </c>
      <c r="AD22" s="183">
        <v>50000</v>
      </c>
      <c r="AE22" s="183"/>
      <c r="AF22" s="183"/>
      <c r="AG22" s="183"/>
      <c r="AH22" s="183"/>
      <c r="AI22" s="351">
        <v>1010000</v>
      </c>
      <c r="AJ22" s="183"/>
      <c r="AK22" s="183">
        <v>50000</v>
      </c>
      <c r="AL22" s="183">
        <v>1050000</v>
      </c>
      <c r="AM22" s="183">
        <v>1050000</v>
      </c>
      <c r="AN22" s="184">
        <f>COUNTIF(G22:AM22,"&gt;0")</f>
        <v>21</v>
      </c>
    </row>
    <row r="23" spans="2:40" ht="15.75">
      <c r="B23" s="13" t="s">
        <v>45</v>
      </c>
      <c r="C23" s="190">
        <f t="shared" si="0"/>
        <v>5040000</v>
      </c>
      <c r="D23" s="183"/>
      <c r="E23" s="183"/>
      <c r="F23" s="183">
        <v>50000</v>
      </c>
      <c r="G23" s="183"/>
      <c r="H23" s="183">
        <v>550000</v>
      </c>
      <c r="I23" s="183">
        <v>50000</v>
      </c>
      <c r="J23" s="183"/>
      <c r="K23" s="183">
        <v>50000</v>
      </c>
      <c r="L23" s="183">
        <v>350000</v>
      </c>
      <c r="M23" s="183">
        <v>50000</v>
      </c>
      <c r="N23" s="183">
        <v>650000</v>
      </c>
      <c r="O23" s="183"/>
      <c r="P23" s="183"/>
      <c r="Q23" s="183"/>
      <c r="R23" s="183"/>
      <c r="S23" s="183"/>
      <c r="T23" s="183">
        <v>650000</v>
      </c>
      <c r="U23" s="183">
        <v>750000</v>
      </c>
      <c r="V23" s="183">
        <v>50000</v>
      </c>
      <c r="W23" s="183"/>
      <c r="X23" s="183"/>
      <c r="Y23" s="183">
        <v>50000</v>
      </c>
      <c r="Z23" s="183">
        <v>50000</v>
      </c>
      <c r="AA23" s="183">
        <v>50000</v>
      </c>
      <c r="AB23" s="183">
        <v>50000</v>
      </c>
      <c r="AC23" s="183"/>
      <c r="AD23" s="183"/>
      <c r="AE23" s="183">
        <v>1250000</v>
      </c>
      <c r="AF23" s="183">
        <v>50000</v>
      </c>
      <c r="AG23" s="183">
        <v>290000</v>
      </c>
      <c r="AH23" s="183"/>
      <c r="AI23" s="351"/>
      <c r="AJ23" s="183"/>
      <c r="AK23" s="183"/>
      <c r="AL23" s="183"/>
      <c r="AM23" s="183">
        <v>50000</v>
      </c>
      <c r="AN23" s="184">
        <f>COUNTIF(D23:AM23,"&gt;0")</f>
        <v>18</v>
      </c>
    </row>
    <row r="24" spans="2:40" ht="15.75">
      <c r="B24" s="13" t="s">
        <v>47</v>
      </c>
      <c r="C24" s="190">
        <f t="shared" si="0"/>
        <v>3890000</v>
      </c>
      <c r="D24" s="183"/>
      <c r="E24" s="183">
        <v>50000</v>
      </c>
      <c r="F24" s="183">
        <v>50000</v>
      </c>
      <c r="G24" s="183"/>
      <c r="H24" s="183">
        <v>50000</v>
      </c>
      <c r="I24" s="183">
        <v>50000</v>
      </c>
      <c r="J24" s="183">
        <v>50000</v>
      </c>
      <c r="K24" s="183"/>
      <c r="L24" s="183"/>
      <c r="M24" s="183">
        <v>650000</v>
      </c>
      <c r="N24" s="183">
        <v>50000</v>
      </c>
      <c r="O24" s="183">
        <v>50000</v>
      </c>
      <c r="P24" s="183">
        <v>1350000</v>
      </c>
      <c r="Q24" s="183"/>
      <c r="R24" s="183">
        <v>50000</v>
      </c>
      <c r="S24" s="183"/>
      <c r="T24" s="183"/>
      <c r="U24" s="183"/>
      <c r="V24" s="183">
        <v>50000</v>
      </c>
      <c r="W24" s="183">
        <v>50000</v>
      </c>
      <c r="X24" s="183"/>
      <c r="Y24" s="183">
        <v>290000</v>
      </c>
      <c r="Z24" s="183">
        <v>350000</v>
      </c>
      <c r="AA24" s="183">
        <v>50000</v>
      </c>
      <c r="AB24" s="183">
        <v>50000</v>
      </c>
      <c r="AC24" s="183">
        <v>50000</v>
      </c>
      <c r="AD24" s="183"/>
      <c r="AE24" s="183"/>
      <c r="AF24" s="183"/>
      <c r="AG24" s="183">
        <v>50000</v>
      </c>
      <c r="AH24" s="183"/>
      <c r="AI24" s="351"/>
      <c r="AJ24" s="183">
        <v>50000</v>
      </c>
      <c r="AK24" s="183"/>
      <c r="AL24" s="183">
        <v>450000</v>
      </c>
      <c r="AM24" s="183">
        <v>50000</v>
      </c>
      <c r="AN24" s="184">
        <f>COUNTIF(D24:AM24,"&gt;0")</f>
        <v>21</v>
      </c>
    </row>
    <row r="25" spans="2:40" ht="15.75">
      <c r="B25" s="13" t="s">
        <v>51</v>
      </c>
      <c r="C25" s="190">
        <f t="shared" si="0"/>
        <v>2670000</v>
      </c>
      <c r="D25" s="183"/>
      <c r="E25" s="183"/>
      <c r="F25" s="183"/>
      <c r="G25" s="183"/>
      <c r="H25" s="183"/>
      <c r="I25" s="183">
        <v>50000</v>
      </c>
      <c r="J25" s="183"/>
      <c r="K25" s="183">
        <v>50000</v>
      </c>
      <c r="L25" s="183"/>
      <c r="M25" s="183">
        <v>50000</v>
      </c>
      <c r="N25" s="183"/>
      <c r="O25" s="183">
        <v>50000</v>
      </c>
      <c r="P25" s="183">
        <v>410000</v>
      </c>
      <c r="Q25" s="183"/>
      <c r="R25" s="183">
        <v>950000</v>
      </c>
      <c r="S25" s="183">
        <v>370000</v>
      </c>
      <c r="T25" s="183"/>
      <c r="U25" s="183">
        <v>50000</v>
      </c>
      <c r="V25" s="183"/>
      <c r="W25" s="183">
        <v>50000</v>
      </c>
      <c r="X25" s="183">
        <v>50000</v>
      </c>
      <c r="Y25" s="183"/>
      <c r="Z25" s="183">
        <v>50000</v>
      </c>
      <c r="AA25" s="183">
        <v>50000</v>
      </c>
      <c r="AB25" s="183">
        <v>50000</v>
      </c>
      <c r="AC25" s="183">
        <v>50000</v>
      </c>
      <c r="AD25" s="183"/>
      <c r="AE25" s="183"/>
      <c r="AF25" s="183"/>
      <c r="AG25" s="183"/>
      <c r="AH25" s="183">
        <v>50000</v>
      </c>
      <c r="AI25" s="350">
        <v>50000</v>
      </c>
      <c r="AJ25" s="183">
        <v>290000</v>
      </c>
      <c r="AK25" s="183"/>
      <c r="AL25" s="183"/>
      <c r="AM25" s="183"/>
      <c r="AN25" s="184">
        <f>COUNTIF(D25:AM25,"&gt;0")</f>
        <v>17</v>
      </c>
    </row>
    <row r="26" spans="2:40" ht="15.75">
      <c r="B26" s="13" t="s">
        <v>25</v>
      </c>
      <c r="C26" s="190">
        <f t="shared" si="0"/>
        <v>2050000</v>
      </c>
      <c r="D26" s="183"/>
      <c r="E26" s="183"/>
      <c r="F26" s="183">
        <v>690000</v>
      </c>
      <c r="G26" s="183"/>
      <c r="H26" s="183"/>
      <c r="I26" s="183"/>
      <c r="J26" s="183"/>
      <c r="K26" s="183"/>
      <c r="L26" s="183"/>
      <c r="M26" s="183"/>
      <c r="N26" s="183">
        <v>50000</v>
      </c>
      <c r="O26" s="183"/>
      <c r="P26" s="183">
        <v>650000</v>
      </c>
      <c r="Q26" s="183"/>
      <c r="R26" s="183"/>
      <c r="S26" s="183"/>
      <c r="T26" s="183">
        <v>410000</v>
      </c>
      <c r="U26" s="183"/>
      <c r="V26" s="183"/>
      <c r="W26" s="183"/>
      <c r="X26" s="183"/>
      <c r="Y26" s="183"/>
      <c r="Z26" s="183"/>
      <c r="AA26" s="183"/>
      <c r="AB26" s="183"/>
      <c r="AC26" s="183">
        <v>50000</v>
      </c>
      <c r="AD26" s="183"/>
      <c r="AE26" s="183">
        <v>50000</v>
      </c>
      <c r="AF26" s="183">
        <v>50000</v>
      </c>
      <c r="AG26" s="183"/>
      <c r="AH26" s="183"/>
      <c r="AI26" s="350">
        <v>50000</v>
      </c>
      <c r="AJ26" s="183"/>
      <c r="AK26" s="183"/>
      <c r="AL26" s="183">
        <v>50000</v>
      </c>
      <c r="AM26" s="183"/>
      <c r="AN26" s="184">
        <f>COUNTIF(D26:AM26,"&gt;0")</f>
        <v>9</v>
      </c>
    </row>
    <row r="27" spans="2:39" ht="15.75">
      <c r="B27" s="191"/>
      <c r="C27" s="192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1"/>
      <c r="AK27" s="191"/>
      <c r="AL27" s="191"/>
      <c r="AM27" s="191"/>
    </row>
    <row r="28" spans="2:40" s="26" customFormat="1" ht="15.75">
      <c r="B28" s="194" t="s">
        <v>57</v>
      </c>
      <c r="C28" s="195"/>
      <c r="D28" s="195">
        <f aca="true" t="shared" si="3" ref="D28:AM28">SUM(D3:D26)</f>
        <v>15650000</v>
      </c>
      <c r="E28" s="195">
        <f t="shared" si="3"/>
        <v>10290000</v>
      </c>
      <c r="F28" s="195">
        <f t="shared" si="3"/>
        <v>9480000</v>
      </c>
      <c r="G28" s="195">
        <f t="shared" si="3"/>
        <v>7920000</v>
      </c>
      <c r="H28" s="195">
        <f t="shared" si="3"/>
        <v>6100000</v>
      </c>
      <c r="I28" s="195">
        <f t="shared" si="3"/>
        <v>7260000</v>
      </c>
      <c r="J28" s="195">
        <f t="shared" si="3"/>
        <v>7260000</v>
      </c>
      <c r="K28" s="195">
        <f t="shared" si="3"/>
        <v>5050000</v>
      </c>
      <c r="L28" s="195">
        <f t="shared" si="3"/>
        <v>7800000</v>
      </c>
      <c r="M28" s="195">
        <f t="shared" si="3"/>
        <v>7160000</v>
      </c>
      <c r="N28" s="195">
        <f t="shared" si="3"/>
        <v>7360000</v>
      </c>
      <c r="O28" s="195">
        <f t="shared" si="3"/>
        <v>9330000</v>
      </c>
      <c r="P28" s="195">
        <f t="shared" si="3"/>
        <v>8370000</v>
      </c>
      <c r="Q28" s="195">
        <f t="shared" si="3"/>
        <v>7010000</v>
      </c>
      <c r="R28" s="195">
        <f t="shared" si="3"/>
        <v>6450000</v>
      </c>
      <c r="S28" s="195">
        <f t="shared" si="3"/>
        <v>8930000</v>
      </c>
      <c r="T28" s="195">
        <f t="shared" si="3"/>
        <v>6860000</v>
      </c>
      <c r="U28" s="195">
        <f t="shared" si="3"/>
        <v>7310000</v>
      </c>
      <c r="V28" s="195">
        <f t="shared" si="3"/>
        <v>7310000</v>
      </c>
      <c r="W28" s="195">
        <f t="shared" si="3"/>
        <v>9380000</v>
      </c>
      <c r="X28" s="195">
        <f t="shared" si="3"/>
        <v>7210000</v>
      </c>
      <c r="Y28" s="195">
        <f t="shared" si="3"/>
        <v>7310000</v>
      </c>
      <c r="Z28" s="195">
        <f t="shared" si="3"/>
        <v>7650000</v>
      </c>
      <c r="AA28" s="195">
        <f t="shared" si="3"/>
        <v>5900000</v>
      </c>
      <c r="AB28" s="195">
        <f t="shared" si="3"/>
        <v>7210000</v>
      </c>
      <c r="AC28" s="195">
        <f t="shared" si="3"/>
        <v>6950000</v>
      </c>
      <c r="AD28" s="195">
        <f t="shared" si="3"/>
        <v>7010000</v>
      </c>
      <c r="AE28" s="195">
        <f t="shared" si="3"/>
        <v>7560000</v>
      </c>
      <c r="AF28" s="195">
        <f t="shared" si="3"/>
        <v>7010000</v>
      </c>
      <c r="AG28" s="195">
        <f t="shared" si="3"/>
        <v>7010000</v>
      </c>
      <c r="AH28" s="195">
        <f t="shared" si="3"/>
        <v>7060000</v>
      </c>
      <c r="AI28" s="195">
        <f t="shared" si="3"/>
        <v>9730000</v>
      </c>
      <c r="AJ28" s="195">
        <f t="shared" si="3"/>
        <v>6850000</v>
      </c>
      <c r="AK28" s="195">
        <f t="shared" si="3"/>
        <v>5650000</v>
      </c>
      <c r="AL28" s="195">
        <f t="shared" si="3"/>
        <v>5650000</v>
      </c>
      <c r="AM28" s="195">
        <f t="shared" si="3"/>
        <v>5700000</v>
      </c>
      <c r="AN28" s="191">
        <f>SUM(AN3:AN26)</f>
        <v>545</v>
      </c>
    </row>
    <row r="30" spans="4:17" ht="15.7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</sheetData>
  <sheetProtection selectLockedCells="1" selectUnlockedCells="1"/>
  <autoFilter ref="A2:AN2">
    <sortState ref="A3:AN30">
      <sortCondition descending="1" sortBy="value" ref="C3:C30"/>
    </sortState>
  </autoFilter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tr">
        <f>'30-05a'!B1:N1</f>
        <v>Hadersleben Geöffnet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278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85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48</v>
      </c>
      <c r="B4" s="307">
        <v>7.7</v>
      </c>
      <c r="C4" s="104">
        <v>32</v>
      </c>
      <c r="D4" s="105">
        <v>28</v>
      </c>
      <c r="E4" s="106" t="s">
        <v>273</v>
      </c>
      <c r="F4" s="104">
        <v>1</v>
      </c>
      <c r="G4" s="104">
        <v>10</v>
      </c>
      <c r="H4" s="107">
        <f aca="true" t="shared" si="0" ref="H4:H11">N4+I4</f>
        <v>1600000</v>
      </c>
      <c r="I4" s="108">
        <f>IF(E4&gt;0,$N$13,0)+IF(C4&gt;0,50000,0)+IF(C12&lt;0,50000,0)</f>
        <v>350000</v>
      </c>
      <c r="J4" s="109" t="s">
        <v>88</v>
      </c>
      <c r="K4" s="110"/>
      <c r="L4" s="111"/>
      <c r="M4" s="112">
        <v>10</v>
      </c>
      <c r="N4" s="107">
        <f>N12*25%</f>
        <v>1250000</v>
      </c>
    </row>
    <row r="5" spans="1:14" s="113" customFormat="1" ht="18" customHeight="1">
      <c r="A5" s="196" t="s">
        <v>14</v>
      </c>
      <c r="B5" s="307">
        <v>10.4</v>
      </c>
      <c r="C5" s="104">
        <v>32</v>
      </c>
      <c r="D5" s="105">
        <v>29</v>
      </c>
      <c r="E5" s="106" t="s">
        <v>272</v>
      </c>
      <c r="F5" s="104">
        <v>2</v>
      </c>
      <c r="G5" s="104">
        <v>8</v>
      </c>
      <c r="H5" s="107">
        <f t="shared" si="0"/>
        <v>1350000</v>
      </c>
      <c r="I5" s="108">
        <f aca="true" t="shared" si="1" ref="I5:I11">IF(E5&gt;0,$N$13,0)+IF(C5&gt;0,50000,0)+IF(C13&lt;0,50000,0)</f>
        <v>350000</v>
      </c>
      <c r="J5" s="114" t="s">
        <v>89</v>
      </c>
      <c r="K5" s="115"/>
      <c r="L5" s="116"/>
      <c r="M5" s="117">
        <v>8</v>
      </c>
      <c r="N5" s="107">
        <f>N12*20%</f>
        <v>1000000</v>
      </c>
    </row>
    <row r="6" spans="1:14" s="113" customFormat="1" ht="18" customHeight="1">
      <c r="A6" s="196" t="s">
        <v>40</v>
      </c>
      <c r="B6" s="307">
        <v>25.6</v>
      </c>
      <c r="C6" s="124">
        <v>32</v>
      </c>
      <c r="D6" s="105">
        <v>37</v>
      </c>
      <c r="E6" s="106"/>
      <c r="F6" s="12">
        <v>3</v>
      </c>
      <c r="G6" s="12">
        <v>6</v>
      </c>
      <c r="H6" s="107">
        <f t="shared" si="0"/>
        <v>800000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750000</v>
      </c>
    </row>
    <row r="7" spans="1:18" s="113" customFormat="1" ht="18" customHeight="1">
      <c r="A7" s="196" t="s">
        <v>28</v>
      </c>
      <c r="B7" s="307">
        <v>12</v>
      </c>
      <c r="C7" s="105">
        <v>31</v>
      </c>
      <c r="D7" s="124">
        <v>34</v>
      </c>
      <c r="E7" s="120" t="s">
        <v>271</v>
      </c>
      <c r="F7" s="104">
        <v>4</v>
      </c>
      <c r="G7" s="104">
        <v>5</v>
      </c>
      <c r="H7" s="107">
        <f t="shared" si="0"/>
        <v>950000</v>
      </c>
      <c r="I7" s="108">
        <f t="shared" si="1"/>
        <v>350000</v>
      </c>
      <c r="J7" s="114" t="s">
        <v>91</v>
      </c>
      <c r="K7" s="115"/>
      <c r="L7" s="116"/>
      <c r="M7" s="117">
        <v>5</v>
      </c>
      <c r="N7" s="107">
        <f>N12*12%</f>
        <v>600000</v>
      </c>
      <c r="O7" s="118"/>
      <c r="P7" s="118"/>
      <c r="Q7" s="118"/>
      <c r="R7" s="119"/>
    </row>
    <row r="8" spans="1:14" s="113" customFormat="1" ht="18" customHeight="1">
      <c r="A8" s="196" t="s">
        <v>22</v>
      </c>
      <c r="B8" s="307">
        <v>15.1</v>
      </c>
      <c r="C8" s="104">
        <v>30</v>
      </c>
      <c r="D8" s="105">
        <v>35</v>
      </c>
      <c r="E8" s="106"/>
      <c r="F8" s="104">
        <v>5</v>
      </c>
      <c r="G8" s="104">
        <v>4</v>
      </c>
      <c r="H8" s="107">
        <f t="shared" si="0"/>
        <v>550000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500000</v>
      </c>
    </row>
    <row r="9" spans="1:14" s="113" customFormat="1" ht="18" customHeight="1">
      <c r="A9" s="196" t="s">
        <v>12</v>
      </c>
      <c r="B9" s="307">
        <v>18.3</v>
      </c>
      <c r="C9" s="104">
        <v>30</v>
      </c>
      <c r="D9" s="124">
        <v>32</v>
      </c>
      <c r="E9" s="120"/>
      <c r="F9" s="121">
        <v>6</v>
      </c>
      <c r="G9" s="121">
        <v>3</v>
      </c>
      <c r="H9" s="107">
        <f t="shared" si="0"/>
        <v>450000</v>
      </c>
      <c r="I9" s="108">
        <f>IF(E9&gt;0,$N$13,0)+IF(C9&gt;0,50000,0)+IF(C17&lt;0,50000,0)</f>
        <v>50000</v>
      </c>
      <c r="J9" s="114" t="s">
        <v>93</v>
      </c>
      <c r="K9" s="115"/>
      <c r="L9" s="116"/>
      <c r="M9" s="117">
        <v>3</v>
      </c>
      <c r="N9" s="107">
        <f>N12*8%</f>
        <v>400000</v>
      </c>
    </row>
    <row r="10" spans="1:14" s="113" customFormat="1" ht="18" customHeight="1">
      <c r="A10" s="196" t="s">
        <v>38</v>
      </c>
      <c r="B10" s="307">
        <v>14.6</v>
      </c>
      <c r="C10" s="104">
        <v>29</v>
      </c>
      <c r="D10" s="105">
        <v>35</v>
      </c>
      <c r="E10" s="106"/>
      <c r="F10" s="104">
        <v>7</v>
      </c>
      <c r="G10" s="104">
        <v>2</v>
      </c>
      <c r="H10" s="107">
        <f t="shared" si="0"/>
        <v>350000</v>
      </c>
      <c r="I10" s="108">
        <f>IF(E10&gt;0,$N$13,0)+IF(C10&gt;0,50000,0)+IF(C18&lt;0,50000,0)</f>
        <v>50000</v>
      </c>
      <c r="J10" s="114" t="s">
        <v>94</v>
      </c>
      <c r="K10" s="115"/>
      <c r="L10" s="116"/>
      <c r="M10" s="117">
        <v>2</v>
      </c>
      <c r="N10" s="107">
        <f>N12*6%</f>
        <v>300000</v>
      </c>
    </row>
    <row r="11" spans="1:14" s="113" customFormat="1" ht="18" customHeight="1">
      <c r="A11" s="196" t="s">
        <v>18</v>
      </c>
      <c r="B11" s="307">
        <v>14.8</v>
      </c>
      <c r="C11" s="104">
        <v>29</v>
      </c>
      <c r="D11" s="124">
        <v>33</v>
      </c>
      <c r="E11" s="120" t="s">
        <v>275</v>
      </c>
      <c r="F11" s="104">
        <v>8</v>
      </c>
      <c r="G11" s="104">
        <v>1</v>
      </c>
      <c r="H11" s="107">
        <f t="shared" si="0"/>
        <v>550000</v>
      </c>
      <c r="I11" s="108">
        <f t="shared" si="1"/>
        <v>350000</v>
      </c>
      <c r="J11" s="114" t="s">
        <v>95</v>
      </c>
      <c r="K11" s="115"/>
      <c r="L11" s="116"/>
      <c r="M11" s="117">
        <v>1</v>
      </c>
      <c r="N11" s="107">
        <f>N12*4%</f>
        <v>200000</v>
      </c>
    </row>
    <row r="12" spans="1:14" s="113" customFormat="1" ht="18" customHeight="1">
      <c r="A12" s="196" t="s">
        <v>42</v>
      </c>
      <c r="B12" s="307">
        <v>17.6</v>
      </c>
      <c r="C12" s="12">
        <v>29</v>
      </c>
      <c r="D12" s="124">
        <v>38</v>
      </c>
      <c r="E12" s="120"/>
      <c r="F12" s="104"/>
      <c r="G12" s="104"/>
      <c r="H12" s="107">
        <f aca="true" t="shared" si="2" ref="H12:H20">I12</f>
        <v>50000</v>
      </c>
      <c r="I12" s="108">
        <f>IF(E12&gt;0,$N$13,0)+IF(C12&gt;0,50000,0)+IF(C12&lt;0,50000,0)</f>
        <v>50000</v>
      </c>
      <c r="J12" s="122" t="s">
        <v>96</v>
      </c>
      <c r="K12" s="115"/>
      <c r="L12" s="116"/>
      <c r="M12" s="117"/>
      <c r="N12" s="123">
        <v>5000000</v>
      </c>
    </row>
    <row r="13" spans="1:14" s="113" customFormat="1" ht="18" customHeight="1">
      <c r="A13" s="196" t="s">
        <v>34</v>
      </c>
      <c r="B13" s="307">
        <v>14.2</v>
      </c>
      <c r="C13" s="104">
        <v>26</v>
      </c>
      <c r="D13" s="124">
        <v>38</v>
      </c>
      <c r="E13" s="106"/>
      <c r="F13" s="104"/>
      <c r="G13" s="104"/>
      <c r="H13" s="107">
        <f t="shared" si="2"/>
        <v>50000</v>
      </c>
      <c r="I13" s="108">
        <f aca="true" t="shared" si="3" ref="I13:I27">IF(E13&gt;0,$N$13,0)+IF(C13&gt;0,50000,0)+IF(C13&lt;0,50000,0)</f>
        <v>50000</v>
      </c>
      <c r="J13" s="125" t="s">
        <v>97</v>
      </c>
      <c r="K13" s="126"/>
      <c r="L13" s="127"/>
      <c r="M13" s="128">
        <v>1</v>
      </c>
      <c r="N13" s="129">
        <f>N10</f>
        <v>300000</v>
      </c>
    </row>
    <row r="14" spans="1:14" s="113" customFormat="1" ht="18" customHeight="1">
      <c r="A14" s="196" t="s">
        <v>30</v>
      </c>
      <c r="B14" s="307">
        <v>12.3</v>
      </c>
      <c r="C14" s="105">
        <v>25</v>
      </c>
      <c r="D14" s="105">
        <v>38</v>
      </c>
      <c r="E14" s="106" t="s">
        <v>270</v>
      </c>
      <c r="F14" s="104"/>
      <c r="G14" s="104"/>
      <c r="H14" s="107">
        <f t="shared" si="2"/>
        <v>350000</v>
      </c>
      <c r="I14" s="108">
        <f t="shared" si="3"/>
        <v>350000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36</v>
      </c>
      <c r="B15" s="307">
        <v>22.6</v>
      </c>
      <c r="C15" s="104">
        <v>25</v>
      </c>
      <c r="D15" s="105">
        <v>38</v>
      </c>
      <c r="E15" s="106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46</v>
      </c>
      <c r="B16" s="307">
        <v>18.8</v>
      </c>
      <c r="C16" s="104">
        <v>23</v>
      </c>
      <c r="D16" s="124">
        <v>37</v>
      </c>
      <c r="E16" s="120" t="s">
        <v>274</v>
      </c>
      <c r="F16" s="12"/>
      <c r="G16" s="12"/>
      <c r="H16" s="107">
        <f t="shared" si="2"/>
        <v>350000</v>
      </c>
      <c r="I16" s="108">
        <f t="shared" si="3"/>
        <v>350000</v>
      </c>
    </row>
    <row r="17" spans="1:18" s="113" customFormat="1" ht="18" customHeight="1">
      <c r="A17" s="196" t="s">
        <v>44</v>
      </c>
      <c r="B17" s="307">
        <v>13.4</v>
      </c>
      <c r="C17" s="105">
        <v>19</v>
      </c>
      <c r="D17" s="105">
        <v>43</v>
      </c>
      <c r="E17" s="106"/>
      <c r="F17" s="12"/>
      <c r="G17" s="12"/>
      <c r="H17" s="107">
        <f t="shared" si="2"/>
        <v>50000</v>
      </c>
      <c r="I17" s="108">
        <f t="shared" si="3"/>
        <v>50000</v>
      </c>
      <c r="O17" s="118"/>
      <c r="P17" s="118"/>
      <c r="Q17" s="118"/>
      <c r="R17" s="119"/>
    </row>
    <row r="18" spans="1:13" s="113" customFormat="1" ht="18" customHeight="1">
      <c r="A18" s="196" t="s">
        <v>20</v>
      </c>
      <c r="B18" s="307">
        <v>18.1</v>
      </c>
      <c r="C18" s="104">
        <v>19</v>
      </c>
      <c r="D18" s="105">
        <v>42</v>
      </c>
      <c r="E18" s="106"/>
      <c r="F18" s="104"/>
      <c r="G18" s="104"/>
      <c r="H18" s="107">
        <f t="shared" si="2"/>
        <v>50000</v>
      </c>
      <c r="I18" s="108">
        <f t="shared" si="3"/>
        <v>50000</v>
      </c>
      <c r="J18" s="119"/>
      <c r="K18" s="119"/>
      <c r="L18" s="119"/>
      <c r="M18" s="119"/>
    </row>
    <row r="19" spans="1:13" s="113" customFormat="1" ht="18" customHeight="1">
      <c r="A19" s="196" t="s">
        <v>16</v>
      </c>
      <c r="B19" s="307">
        <v>18.7</v>
      </c>
      <c r="C19" s="105">
        <v>14</v>
      </c>
      <c r="D19" s="105">
        <v>45</v>
      </c>
      <c r="E19" s="106"/>
      <c r="F19" s="104"/>
      <c r="G19" s="104"/>
      <c r="H19" s="107">
        <f t="shared" si="2"/>
        <v>50000</v>
      </c>
      <c r="I19" s="108">
        <f t="shared" si="3"/>
        <v>50000</v>
      </c>
      <c r="J19" s="119"/>
      <c r="K19" s="119"/>
      <c r="L19" s="119"/>
      <c r="M19" s="119"/>
    </row>
    <row r="20" spans="1:9" s="88" customFormat="1" ht="18" customHeight="1">
      <c r="A20" s="196" t="s">
        <v>50</v>
      </c>
      <c r="B20" s="307">
        <v>23.3</v>
      </c>
      <c r="C20" s="104" t="s">
        <v>263</v>
      </c>
      <c r="D20" s="105"/>
      <c r="E20" s="106"/>
      <c r="F20" s="12"/>
      <c r="G20" s="12"/>
      <c r="H20" s="107">
        <f t="shared" si="2"/>
        <v>50000</v>
      </c>
      <c r="I20" s="108">
        <f t="shared" si="3"/>
        <v>50000</v>
      </c>
    </row>
    <row r="21" spans="1:9" s="88" customFormat="1" ht="18" customHeight="1">
      <c r="A21" s="196"/>
      <c r="B21" s="307"/>
      <c r="C21" s="104"/>
      <c r="D21" s="105"/>
      <c r="E21" s="106"/>
      <c r="F21" s="12"/>
      <c r="G21" s="12"/>
      <c r="H21" s="107">
        <f aca="true" t="shared" si="4" ref="H21:H27">I21</f>
        <v>0</v>
      </c>
      <c r="I21" s="108">
        <f t="shared" si="3"/>
        <v>0</v>
      </c>
    </row>
    <row r="22" spans="1:9" s="88" customFormat="1" ht="18" customHeight="1">
      <c r="A22" s="196"/>
      <c r="B22" s="307"/>
      <c r="C22" s="104"/>
      <c r="D22" s="105"/>
      <c r="E22" s="106"/>
      <c r="F22" s="12"/>
      <c r="G22" s="12"/>
      <c r="H22" s="107">
        <f t="shared" si="4"/>
        <v>0</v>
      </c>
      <c r="I22" s="108">
        <f t="shared" si="3"/>
        <v>0</v>
      </c>
    </row>
    <row r="23" spans="1:9" s="88" customFormat="1" ht="18" customHeight="1">
      <c r="A23" s="196"/>
      <c r="B23" s="307"/>
      <c r="C23" s="104"/>
      <c r="D23" s="105"/>
      <c r="E23" s="106"/>
      <c r="F23" s="12"/>
      <c r="G23" s="12"/>
      <c r="H23" s="107">
        <f t="shared" si="4"/>
        <v>0</v>
      </c>
      <c r="I23" s="108">
        <f t="shared" si="3"/>
        <v>0</v>
      </c>
    </row>
    <row r="24" spans="1:9" s="88" customFormat="1" ht="18" customHeight="1">
      <c r="A24" s="196"/>
      <c r="B24" s="307"/>
      <c r="C24" s="12"/>
      <c r="D24" s="105"/>
      <c r="E24" s="106"/>
      <c r="F24" s="12"/>
      <c r="G24" s="12"/>
      <c r="H24" s="107">
        <f t="shared" si="4"/>
        <v>0</v>
      </c>
      <c r="I24" s="108">
        <f t="shared" si="3"/>
        <v>0</v>
      </c>
    </row>
    <row r="25" spans="1:9" s="88" customFormat="1" ht="18" customHeight="1">
      <c r="A25" s="196"/>
      <c r="B25" s="307"/>
      <c r="C25" s="104"/>
      <c r="D25" s="124"/>
      <c r="E25" s="120"/>
      <c r="F25" s="12"/>
      <c r="G25" s="12"/>
      <c r="H25" s="107">
        <f t="shared" si="4"/>
        <v>0</v>
      </c>
      <c r="I25" s="108">
        <f t="shared" si="3"/>
        <v>0</v>
      </c>
    </row>
    <row r="26" spans="1:9" s="88" customFormat="1" ht="18" customHeight="1">
      <c r="A26" s="196"/>
      <c r="B26" s="240"/>
      <c r="C26" s="105"/>
      <c r="D26" s="105"/>
      <c r="E26" s="106"/>
      <c r="F26" s="104"/>
      <c r="G26" s="104"/>
      <c r="H26" s="107">
        <f t="shared" si="4"/>
        <v>0</v>
      </c>
      <c r="I26" s="108">
        <f t="shared" si="3"/>
        <v>0</v>
      </c>
    </row>
    <row r="27" spans="1:9" s="88" customFormat="1" ht="18" customHeight="1">
      <c r="A27" s="196"/>
      <c r="B27" s="240"/>
      <c r="C27" s="105"/>
      <c r="D27" s="124"/>
      <c r="E27" s="120"/>
      <c r="F27" s="104"/>
      <c r="G27" s="104"/>
      <c r="H27" s="107">
        <f t="shared" si="4"/>
        <v>0</v>
      </c>
      <c r="I27" s="108">
        <f t="shared" si="3"/>
        <v>0</v>
      </c>
    </row>
    <row r="28" spans="1:9" ht="18" customHeight="1">
      <c r="A28" s="1"/>
      <c r="B28" s="3"/>
      <c r="C28" s="138"/>
      <c r="D28" s="139">
        <f>SUM(D4:D27)</f>
        <v>582</v>
      </c>
      <c r="E28" s="138"/>
      <c r="F28" s="3"/>
      <c r="G28" s="140">
        <f>SUM(G4:G27)</f>
        <v>39</v>
      </c>
      <c r="H28" s="140">
        <f>SUM(H4:H27)</f>
        <v>7650000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268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269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36</v>
      </c>
      <c r="B4" s="307">
        <v>22.6</v>
      </c>
      <c r="C4" s="506">
        <v>42</v>
      </c>
      <c r="D4" s="426"/>
      <c r="E4" s="416"/>
      <c r="F4" s="507">
        <v>1</v>
      </c>
      <c r="G4" s="104">
        <v>10</v>
      </c>
      <c r="H4" s="107">
        <v>1050000</v>
      </c>
      <c r="I4" s="108">
        <f>IF(E4&gt;0,#REF!,0)+IF(C4&gt;0,50000,0)+IF(C13&lt;0,50000,0)</f>
        <v>50000</v>
      </c>
      <c r="J4" s="109" t="s">
        <v>88</v>
      </c>
      <c r="K4" s="110"/>
      <c r="L4" s="111"/>
      <c r="M4" s="112">
        <v>10</v>
      </c>
      <c r="N4" s="107">
        <f>N12*25%</f>
        <v>1250000</v>
      </c>
    </row>
    <row r="5" spans="1:14" s="113" customFormat="1" ht="18" customHeight="1">
      <c r="A5" s="196" t="s">
        <v>40</v>
      </c>
      <c r="B5" s="307">
        <v>25.6</v>
      </c>
      <c r="C5" s="503"/>
      <c r="D5" s="420"/>
      <c r="E5" s="419"/>
      <c r="F5" s="501"/>
      <c r="G5" s="104">
        <v>10</v>
      </c>
      <c r="H5" s="107">
        <v>1050000</v>
      </c>
      <c r="I5" s="108">
        <f>IF(E5&gt;0,#REF!,0)+IF(C6&gt;0,50000,0)+IF(C14&lt;0,50000,0)</f>
        <v>50000</v>
      </c>
      <c r="J5" s="114" t="s">
        <v>89</v>
      </c>
      <c r="K5" s="115"/>
      <c r="L5" s="116"/>
      <c r="M5" s="117">
        <v>8</v>
      </c>
      <c r="N5" s="107">
        <f>N12*20%</f>
        <v>1000000</v>
      </c>
    </row>
    <row r="6" spans="1:14" s="113" customFormat="1" ht="18" customHeight="1">
      <c r="A6" s="196" t="s">
        <v>34</v>
      </c>
      <c r="B6" s="307">
        <v>14.2</v>
      </c>
      <c r="C6" s="502">
        <v>41</v>
      </c>
      <c r="D6" s="420"/>
      <c r="E6" s="421"/>
      <c r="F6" s="500">
        <v>2</v>
      </c>
      <c r="G6" s="12">
        <v>6</v>
      </c>
      <c r="H6" s="107">
        <v>800000</v>
      </c>
      <c r="I6" s="108">
        <f>IF(E6&gt;0,#REF!,0)+IF(C7&gt;0,50000,0)+IF(C15&lt;0,50000,0)</f>
        <v>0</v>
      </c>
      <c r="J6" s="114" t="s">
        <v>90</v>
      </c>
      <c r="K6" s="115"/>
      <c r="L6" s="116"/>
      <c r="M6" s="117">
        <v>6</v>
      </c>
      <c r="N6" s="107">
        <f>N12*15%</f>
        <v>750000</v>
      </c>
    </row>
    <row r="7" spans="1:17" s="113" customFormat="1" ht="18" customHeight="1">
      <c r="A7" s="196" t="s">
        <v>12</v>
      </c>
      <c r="B7" s="307">
        <v>18.3</v>
      </c>
      <c r="C7" s="503"/>
      <c r="D7" s="420"/>
      <c r="E7" s="419"/>
      <c r="F7" s="501"/>
      <c r="G7" s="104">
        <v>6</v>
      </c>
      <c r="H7" s="107">
        <v>800000</v>
      </c>
      <c r="I7" s="108">
        <f>IF(E7&gt;0,#REF!,0)+IF(C8&gt;0,50000,0)+IF(C16&lt;0,50000,0)</f>
        <v>50000</v>
      </c>
      <c r="J7" s="114" t="s">
        <v>91</v>
      </c>
      <c r="K7" s="115"/>
      <c r="L7" s="116"/>
      <c r="M7" s="117">
        <v>5</v>
      </c>
      <c r="N7" s="107">
        <f>N12*12%</f>
        <v>600000</v>
      </c>
      <c r="O7" s="118"/>
      <c r="P7" s="118"/>
      <c r="Q7" s="119"/>
    </row>
    <row r="8" spans="1:14" s="113" customFormat="1" ht="18" customHeight="1">
      <c r="A8" s="196" t="s">
        <v>20</v>
      </c>
      <c r="B8" s="307">
        <v>18.1</v>
      </c>
      <c r="C8" s="502">
        <v>41</v>
      </c>
      <c r="D8" s="420"/>
      <c r="E8" s="419"/>
      <c r="F8" s="500">
        <v>3</v>
      </c>
      <c r="G8" s="104">
        <v>4</v>
      </c>
      <c r="H8" s="107">
        <v>550000</v>
      </c>
      <c r="I8" s="108">
        <f>IF(E8&gt;0,#REF!,0)+IF(C9&gt;0,50000,0)+IF(C17&lt;0,50000,0)</f>
        <v>0</v>
      </c>
      <c r="J8" s="114" t="s">
        <v>92</v>
      </c>
      <c r="K8" s="115"/>
      <c r="L8" s="116"/>
      <c r="M8" s="117">
        <v>4</v>
      </c>
      <c r="N8" s="107">
        <f>N12*10%</f>
        <v>500000</v>
      </c>
    </row>
    <row r="9" spans="1:14" s="113" customFormat="1" ht="18" customHeight="1">
      <c r="A9" s="196" t="s">
        <v>42</v>
      </c>
      <c r="B9" s="307">
        <v>17.6</v>
      </c>
      <c r="C9" s="503"/>
      <c r="D9" s="418"/>
      <c r="E9" s="421"/>
      <c r="F9" s="501"/>
      <c r="G9" s="104">
        <v>4</v>
      </c>
      <c r="H9" s="107">
        <v>550000</v>
      </c>
      <c r="I9" s="108">
        <f>IF(E9&gt;0,#REF!,0)+IF(C10&gt;0,50000,0)+IF(C18&lt;0,50000,0)</f>
        <v>50000</v>
      </c>
      <c r="J9" s="114" t="s">
        <v>93</v>
      </c>
      <c r="K9" s="115"/>
      <c r="L9" s="116"/>
      <c r="M9" s="117">
        <v>3</v>
      </c>
      <c r="N9" s="107">
        <f>N12*8%</f>
        <v>400000</v>
      </c>
    </row>
    <row r="10" spans="1:14" s="113" customFormat="1" ht="18" customHeight="1">
      <c r="A10" s="196" t="s">
        <v>48</v>
      </c>
      <c r="B10" s="307">
        <v>7.7</v>
      </c>
      <c r="C10" s="502">
        <v>40</v>
      </c>
      <c r="D10" s="418"/>
      <c r="E10" s="421"/>
      <c r="F10" s="500">
        <v>4</v>
      </c>
      <c r="G10" s="104">
        <v>2</v>
      </c>
      <c r="H10" s="107">
        <v>300000</v>
      </c>
      <c r="I10" s="108">
        <f>IF(E10&gt;0,#REF!,0)+IF(C11&gt;0,50000,0)+IF(C19&lt;0,50000,0)</f>
        <v>0</v>
      </c>
      <c r="J10" s="114" t="s">
        <v>94</v>
      </c>
      <c r="K10" s="115"/>
      <c r="L10" s="116"/>
      <c r="M10" s="117">
        <v>2</v>
      </c>
      <c r="N10" s="107">
        <f>N12*6%</f>
        <v>300000</v>
      </c>
    </row>
    <row r="11" spans="1:14" s="113" customFormat="1" ht="18" customHeight="1">
      <c r="A11" s="196" t="s">
        <v>22</v>
      </c>
      <c r="B11" s="307">
        <v>15.1</v>
      </c>
      <c r="C11" s="503"/>
      <c r="D11" s="420"/>
      <c r="E11" s="419"/>
      <c r="F11" s="501"/>
      <c r="G11" s="104">
        <v>2</v>
      </c>
      <c r="H11" s="107">
        <v>300000</v>
      </c>
      <c r="I11" s="108">
        <f>IF(E11&gt;0,#REF!,0)+IF(C12&gt;0,50000,0)+IF(C20&lt;0,50000,0)</f>
        <v>50000</v>
      </c>
      <c r="J11" s="114" t="s">
        <v>95</v>
      </c>
      <c r="K11" s="115"/>
      <c r="L11" s="116"/>
      <c r="M11" s="117">
        <v>1</v>
      </c>
      <c r="N11" s="107">
        <f>N12*4%</f>
        <v>200000</v>
      </c>
    </row>
    <row r="12" spans="1:14" s="113" customFormat="1" ht="18" customHeight="1">
      <c r="A12" s="196" t="s">
        <v>30</v>
      </c>
      <c r="B12" s="307">
        <v>12.3</v>
      </c>
      <c r="C12" s="502">
        <v>39</v>
      </c>
      <c r="D12" s="418"/>
      <c r="E12" s="419"/>
      <c r="F12" s="500">
        <v>5</v>
      </c>
      <c r="G12" s="104"/>
      <c r="H12" s="107">
        <f>I12</f>
        <v>50000</v>
      </c>
      <c r="I12" s="108">
        <f>IF(E12&gt;0,#REF!,0)+IF(C12&gt;0,50000,0)+IF(C12&lt;0,50000,0)</f>
        <v>50000</v>
      </c>
      <c r="J12" s="122" t="s">
        <v>96</v>
      </c>
      <c r="K12" s="115"/>
      <c r="L12" s="116"/>
      <c r="M12" s="117"/>
      <c r="N12" s="123">
        <v>5000000</v>
      </c>
    </row>
    <row r="13" spans="1:14" s="113" customFormat="1" ht="18" customHeight="1">
      <c r="A13" s="196" t="s">
        <v>10</v>
      </c>
      <c r="B13" s="307">
        <v>15.4</v>
      </c>
      <c r="C13" s="503"/>
      <c r="D13" s="418"/>
      <c r="E13" s="419"/>
      <c r="F13" s="501"/>
      <c r="G13" s="104"/>
      <c r="H13" s="107">
        <v>50000</v>
      </c>
      <c r="I13" s="108">
        <f>IF(E13&gt;0,#REF!,0)+IF(C13&gt;0,50000,0)+IF(C13&lt;0,50000,0)</f>
        <v>0</v>
      </c>
      <c r="J13" s="144" t="s">
        <v>97</v>
      </c>
      <c r="K13" s="11"/>
      <c r="L13" s="11"/>
      <c r="M13" s="12">
        <v>1</v>
      </c>
      <c r="N13" s="107">
        <f>N10</f>
        <v>300000</v>
      </c>
    </row>
    <row r="14" spans="1:9" s="113" customFormat="1" ht="18" customHeight="1">
      <c r="A14" s="196" t="s">
        <v>38</v>
      </c>
      <c r="B14" s="307">
        <v>14.6</v>
      </c>
      <c r="C14" s="504">
        <v>38</v>
      </c>
      <c r="D14" s="420"/>
      <c r="E14" s="419"/>
      <c r="F14" s="500">
        <v>6</v>
      </c>
      <c r="G14" s="104"/>
      <c r="H14" s="107">
        <f aca="true" t="shared" si="0" ref="H14:H27">I14</f>
        <v>50000</v>
      </c>
      <c r="I14" s="108">
        <f>IF(E14&gt;0,#REF!,0)+IF(C14&gt;0,50000,0)+IF(C14&lt;0,50000,0)</f>
        <v>50000</v>
      </c>
    </row>
    <row r="15" spans="1:9" s="113" customFormat="1" ht="18" customHeight="1">
      <c r="A15" s="196" t="s">
        <v>276</v>
      </c>
      <c r="B15" s="240">
        <v>0</v>
      </c>
      <c r="C15" s="505"/>
      <c r="D15" s="418"/>
      <c r="E15" s="419"/>
      <c r="F15" s="501"/>
      <c r="G15" s="104"/>
      <c r="H15" s="107">
        <f t="shared" si="0"/>
        <v>0</v>
      </c>
      <c r="I15" s="108">
        <f>IF(E15&gt;0,#REF!,0)+IF(C15&gt;0,50000,0)+IF(C15&lt;0,50000,0)</f>
        <v>0</v>
      </c>
    </row>
    <row r="16" spans="1:9" s="113" customFormat="1" ht="18" customHeight="1">
      <c r="A16" s="196" t="s">
        <v>28</v>
      </c>
      <c r="B16" s="307">
        <v>12</v>
      </c>
      <c r="C16" s="512">
        <v>35</v>
      </c>
      <c r="D16" s="418"/>
      <c r="E16" s="421"/>
      <c r="F16" s="508">
        <v>7</v>
      </c>
      <c r="G16" s="12"/>
      <c r="H16" s="107">
        <f t="shared" si="0"/>
        <v>50000</v>
      </c>
      <c r="I16" s="108">
        <f>IF(E16&gt;0,#REF!,0)+IF(C16&gt;0,50000,0)+IF(C16&lt;0,50000,0)</f>
        <v>50000</v>
      </c>
    </row>
    <row r="17" spans="1:17" s="113" customFormat="1" ht="18" customHeight="1">
      <c r="A17" s="196" t="s">
        <v>277</v>
      </c>
      <c r="B17" s="240">
        <v>0</v>
      </c>
      <c r="C17" s="513"/>
      <c r="D17" s="418"/>
      <c r="E17" s="419"/>
      <c r="F17" s="509"/>
      <c r="G17" s="12"/>
      <c r="H17" s="107">
        <f t="shared" si="0"/>
        <v>0</v>
      </c>
      <c r="I17" s="108">
        <f>IF(E17&gt;0,#REF!,0)+IF(C17&gt;0,50000,0)+IF(C17&lt;0,50000,0)</f>
        <v>0</v>
      </c>
      <c r="J17" s="118"/>
      <c r="K17" s="118"/>
      <c r="L17" s="118"/>
      <c r="M17" s="119"/>
      <c r="O17" s="118"/>
      <c r="P17" s="118"/>
      <c r="Q17" s="119"/>
    </row>
    <row r="18" spans="1:14" s="113" customFormat="1" ht="18" customHeight="1">
      <c r="A18" s="196" t="s">
        <v>44</v>
      </c>
      <c r="B18" s="307">
        <v>13.4</v>
      </c>
      <c r="C18" s="510">
        <v>35</v>
      </c>
      <c r="D18" s="420"/>
      <c r="E18" s="419"/>
      <c r="F18" s="500">
        <v>8</v>
      </c>
      <c r="G18" s="104"/>
      <c r="H18" s="107">
        <f t="shared" si="0"/>
        <v>50000</v>
      </c>
      <c r="I18" s="108">
        <f>IF(E18&gt;0,#REF!,0)+IF(C18&gt;0,50000,0)+IF(C18&lt;0,50000,0)</f>
        <v>50000</v>
      </c>
      <c r="J18" s="12" t="s">
        <v>104</v>
      </c>
      <c r="K18" s="12" t="s">
        <v>85</v>
      </c>
      <c r="L18" s="12"/>
      <c r="M18" s="12" t="s">
        <v>105</v>
      </c>
      <c r="N18" s="12"/>
    </row>
    <row r="19" spans="1:14" s="113" customFormat="1" ht="18" customHeight="1">
      <c r="A19" s="196" t="s">
        <v>46</v>
      </c>
      <c r="B19" s="307">
        <v>18.8</v>
      </c>
      <c r="C19" s="511"/>
      <c r="D19" s="418"/>
      <c r="E19" s="421"/>
      <c r="F19" s="501"/>
      <c r="G19" s="104"/>
      <c r="H19" s="107">
        <v>50000</v>
      </c>
      <c r="I19" s="108">
        <f>IF(E19&gt;0,#REF!,0)+IF(C19&gt;0,50000,0)+IF(C19&lt;0,50000,0)</f>
        <v>0</v>
      </c>
      <c r="J19" s="12">
        <v>1</v>
      </c>
      <c r="K19" s="12" t="s">
        <v>106</v>
      </c>
      <c r="L19" s="12">
        <v>10</v>
      </c>
      <c r="M19" s="107" t="s">
        <v>106</v>
      </c>
      <c r="N19" s="107">
        <f>N12*0.2</f>
        <v>1000000</v>
      </c>
    </row>
    <row r="20" spans="1:14" s="88" customFormat="1" ht="18" customHeight="1">
      <c r="A20" s="196" t="s">
        <v>14</v>
      </c>
      <c r="B20" s="307">
        <v>10.4</v>
      </c>
      <c r="C20" s="502">
        <v>34</v>
      </c>
      <c r="D20" s="418"/>
      <c r="E20" s="421"/>
      <c r="F20" s="508">
        <v>9</v>
      </c>
      <c r="G20" s="12"/>
      <c r="H20" s="107">
        <f t="shared" si="0"/>
        <v>50000</v>
      </c>
      <c r="I20" s="108">
        <f>IF(E20&gt;0,#REF!,0)+IF(C20&gt;0,50000,0)+IF(C20&lt;0,50000,0)</f>
        <v>50000</v>
      </c>
      <c r="J20" s="12">
        <v>2</v>
      </c>
      <c r="K20" s="12" t="s">
        <v>106</v>
      </c>
      <c r="L20" s="12">
        <v>6</v>
      </c>
      <c r="M20" s="107" t="s">
        <v>106</v>
      </c>
      <c r="N20" s="107">
        <f>N12*0.15</f>
        <v>750000</v>
      </c>
    </row>
    <row r="21" spans="1:14" s="88" customFormat="1" ht="18" customHeight="1">
      <c r="A21" s="196" t="s">
        <v>50</v>
      </c>
      <c r="B21" s="307">
        <v>23.3</v>
      </c>
      <c r="C21" s="503"/>
      <c r="D21" s="418"/>
      <c r="E21" s="419"/>
      <c r="F21" s="509"/>
      <c r="G21" s="12"/>
      <c r="H21" s="107">
        <v>50000</v>
      </c>
      <c r="I21" s="108">
        <f>IF(E21&gt;0,#REF!,0)+IF(C21&gt;0,50000,0)+IF(C21&lt;0,50000,0)</f>
        <v>0</v>
      </c>
      <c r="J21" s="12">
        <v>3</v>
      </c>
      <c r="K21" s="12" t="s">
        <v>106</v>
      </c>
      <c r="L21" s="12">
        <v>4</v>
      </c>
      <c r="M21" s="107" t="s">
        <v>106</v>
      </c>
      <c r="N21" s="107">
        <f>N12*0.1</f>
        <v>500000</v>
      </c>
    </row>
    <row r="22" spans="1:14" s="88" customFormat="1" ht="18" customHeight="1">
      <c r="A22" s="196" t="s">
        <v>16</v>
      </c>
      <c r="B22" s="307">
        <v>18.7</v>
      </c>
      <c r="C22" s="502">
        <v>34</v>
      </c>
      <c r="D22" s="418"/>
      <c r="E22" s="419"/>
      <c r="F22" s="508">
        <v>10</v>
      </c>
      <c r="G22" s="12"/>
      <c r="H22" s="107">
        <f t="shared" si="0"/>
        <v>50000</v>
      </c>
      <c r="I22" s="108">
        <f>IF(E22&gt;0,#REF!,0)+IF(C22&gt;0,50000,0)+IF(C22&lt;0,50000,0)</f>
        <v>50000</v>
      </c>
      <c r="J22" s="12">
        <v>4</v>
      </c>
      <c r="K22" s="12" t="s">
        <v>106</v>
      </c>
      <c r="L22" s="12">
        <v>2</v>
      </c>
      <c r="M22" s="107" t="s">
        <v>106</v>
      </c>
      <c r="N22" s="107">
        <f>N12*0.05</f>
        <v>250000</v>
      </c>
    </row>
    <row r="23" spans="1:14" s="88" customFormat="1" ht="18" customHeight="1">
      <c r="A23" s="196" t="s">
        <v>18</v>
      </c>
      <c r="B23" s="307">
        <v>14.8</v>
      </c>
      <c r="C23" s="503"/>
      <c r="D23" s="418"/>
      <c r="E23" s="419"/>
      <c r="F23" s="509"/>
      <c r="G23" s="12"/>
      <c r="H23" s="107">
        <v>50000</v>
      </c>
      <c r="I23" s="108">
        <f>IF(E23&gt;0,#REF!,0)+IF(C23&gt;0,50000,0)+IF(C23&lt;0,50000,0)</f>
        <v>0</v>
      </c>
      <c r="L23" s="145"/>
      <c r="M23" s="146"/>
      <c r="N23" s="146"/>
    </row>
    <row r="24" spans="1:14" s="88" customFormat="1" ht="18" customHeight="1">
      <c r="A24" s="427"/>
      <c r="B24" s="427"/>
      <c r="C24" s="417"/>
      <c r="D24" s="418"/>
      <c r="E24" s="421"/>
      <c r="F24" s="422"/>
      <c r="G24" s="12"/>
      <c r="H24" s="107">
        <f t="shared" si="0"/>
        <v>0</v>
      </c>
      <c r="I24" s="108">
        <f>IF(E24&gt;0,#REF!,0)+IF(C24&gt;0,50000,0)+IF(C24&lt;0,50000,0)</f>
        <v>0</v>
      </c>
      <c r="L24" s="145"/>
      <c r="M24" s="146"/>
      <c r="N24" s="146"/>
    </row>
    <row r="25" spans="1:14" s="88" customFormat="1" ht="18" customHeight="1">
      <c r="A25" s="196"/>
      <c r="B25" s="240"/>
      <c r="C25" s="417"/>
      <c r="D25" s="418"/>
      <c r="E25" s="421"/>
      <c r="F25" s="422"/>
      <c r="G25" s="12"/>
      <c r="H25" s="107">
        <f t="shared" si="0"/>
        <v>0</v>
      </c>
      <c r="I25" s="108">
        <f>IF(E25&gt;0,#REF!,0)+IF(C25&gt;0,50000,0)+IF(C25&lt;0,50000,0)</f>
        <v>0</v>
      </c>
      <c r="J25" s="12" t="s">
        <v>107</v>
      </c>
      <c r="K25" s="12" t="s">
        <v>85</v>
      </c>
      <c r="L25" s="12"/>
      <c r="M25" s="107" t="s">
        <v>105</v>
      </c>
      <c r="N25" s="107"/>
    </row>
    <row r="26" spans="1:14" s="88" customFormat="1" ht="18" customHeight="1">
      <c r="A26" s="423"/>
      <c r="B26" s="364"/>
      <c r="C26" s="363"/>
      <c r="D26" s="424"/>
      <c r="E26" s="425"/>
      <c r="F26" s="363"/>
      <c r="G26" s="104"/>
      <c r="H26" s="107">
        <f t="shared" si="0"/>
        <v>0</v>
      </c>
      <c r="I26" s="108">
        <f>IF(E26&gt;0,#REF!,0)+IF(C26&gt;0,50000,0)+IF(C26&lt;0,50000,0)</f>
        <v>0</v>
      </c>
      <c r="J26" s="12">
        <v>1</v>
      </c>
      <c r="K26" s="12" t="s">
        <v>108</v>
      </c>
      <c r="L26" s="12">
        <v>10</v>
      </c>
      <c r="M26" s="107" t="s">
        <v>108</v>
      </c>
      <c r="N26" s="107">
        <f>(N4+N5+N6+N7)/4</f>
        <v>900000</v>
      </c>
    </row>
    <row r="27" spans="1:14" s="88" customFormat="1" ht="18" customHeight="1">
      <c r="A27" s="196"/>
      <c r="B27" s="240"/>
      <c r="C27" s="104"/>
      <c r="D27" s="105"/>
      <c r="E27" s="106"/>
      <c r="F27" s="104"/>
      <c r="G27" s="104"/>
      <c r="H27" s="107">
        <f t="shared" si="0"/>
        <v>0</v>
      </c>
      <c r="I27" s="108">
        <f>IF(E27&gt;0,#REF!,0)+IF(C27&gt;0,50000,0)+IF(C27&lt;0,50000,0)</f>
        <v>0</v>
      </c>
      <c r="J27" s="12">
        <v>2</v>
      </c>
      <c r="K27" s="12" t="s">
        <v>108</v>
      </c>
      <c r="L27" s="12">
        <v>5</v>
      </c>
      <c r="M27" s="107" t="s">
        <v>108</v>
      </c>
      <c r="N27" s="107">
        <f>AVERAGE(N8:N11)</f>
        <v>350000</v>
      </c>
    </row>
    <row r="28" spans="1:9" ht="18" customHeight="1">
      <c r="A28" s="1"/>
      <c r="B28" s="3"/>
      <c r="C28" s="138"/>
      <c r="D28" s="139">
        <f>SUM(D4:D27)</f>
        <v>0</v>
      </c>
      <c r="E28" s="138"/>
      <c r="F28" s="3"/>
      <c r="G28" s="140">
        <f>SUM(G4:G27)</f>
        <v>44</v>
      </c>
      <c r="H28" s="140">
        <f>SUM(H4:H27)</f>
        <v>5900000</v>
      </c>
      <c r="I28" s="141"/>
    </row>
  </sheetData>
  <sheetProtection selectLockedCells="1" selectUnlockedCells="1"/>
  <mergeCells count="22">
    <mergeCell ref="B1:N1"/>
    <mergeCell ref="B2:N2"/>
    <mergeCell ref="C16:C17"/>
    <mergeCell ref="C6:C7"/>
    <mergeCell ref="C8:C9"/>
    <mergeCell ref="C22:C23"/>
    <mergeCell ref="C10:C11"/>
    <mergeCell ref="C12:C13"/>
    <mergeCell ref="F20:F21"/>
    <mergeCell ref="F22:F23"/>
    <mergeCell ref="F6:F7"/>
    <mergeCell ref="F8:F9"/>
    <mergeCell ref="C18:C19"/>
    <mergeCell ref="F10:F11"/>
    <mergeCell ref="F16:F17"/>
    <mergeCell ref="F18:F19"/>
    <mergeCell ref="F12:F13"/>
    <mergeCell ref="C20:C21"/>
    <mergeCell ref="C14:C15"/>
    <mergeCell ref="F14:F15"/>
    <mergeCell ref="C4:C5"/>
    <mergeCell ref="F4:F5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202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267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12</v>
      </c>
      <c r="B4" s="307">
        <v>19</v>
      </c>
      <c r="C4" s="12">
        <v>38</v>
      </c>
      <c r="D4" s="105">
        <v>33</v>
      </c>
      <c r="E4" s="106"/>
      <c r="F4" s="104">
        <v>1</v>
      </c>
      <c r="G4" s="104">
        <v>10</v>
      </c>
      <c r="H4" s="107">
        <f aca="true" t="shared" si="0" ref="H4:H11">N4+I4</f>
        <v>1550000</v>
      </c>
      <c r="I4" s="108">
        <f aca="true" t="shared" si="1" ref="I4:I27"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52</v>
      </c>
      <c r="B5" s="307">
        <v>13.6</v>
      </c>
      <c r="C5" s="124">
        <v>36</v>
      </c>
      <c r="D5" s="124">
        <v>35</v>
      </c>
      <c r="E5" s="106">
        <v>6.38</v>
      </c>
      <c r="F5" s="104">
        <v>2</v>
      </c>
      <c r="G5" s="104">
        <v>8</v>
      </c>
      <c r="H5" s="107">
        <f t="shared" si="0"/>
        <v>1610000</v>
      </c>
      <c r="I5" s="108">
        <f t="shared" si="1"/>
        <v>410000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38</v>
      </c>
      <c r="B6" s="307">
        <v>14.5</v>
      </c>
      <c r="C6" s="12">
        <v>35</v>
      </c>
      <c r="D6" s="105">
        <v>32</v>
      </c>
      <c r="E6" s="120"/>
      <c r="F6" s="104">
        <v>3</v>
      </c>
      <c r="G6" s="12">
        <v>6</v>
      </c>
      <c r="H6" s="107">
        <f t="shared" si="0"/>
        <v>950000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48</v>
      </c>
      <c r="B7" s="307">
        <v>7.8</v>
      </c>
      <c r="C7" s="105">
        <v>33</v>
      </c>
      <c r="D7" s="105">
        <v>34</v>
      </c>
      <c r="E7" s="106"/>
      <c r="F7" s="104">
        <v>4</v>
      </c>
      <c r="G7" s="104">
        <v>5</v>
      </c>
      <c r="H7" s="107">
        <f t="shared" si="0"/>
        <v>770000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22</v>
      </c>
      <c r="B8" s="307">
        <v>15.3</v>
      </c>
      <c r="C8" s="104">
        <v>32</v>
      </c>
      <c r="D8" s="105">
        <v>32</v>
      </c>
      <c r="E8" s="106"/>
      <c r="F8" s="104">
        <v>5</v>
      </c>
      <c r="G8" s="104">
        <v>4</v>
      </c>
      <c r="H8" s="107">
        <f t="shared" si="0"/>
        <v>650000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30</v>
      </c>
      <c r="B9" s="307">
        <v>12.1</v>
      </c>
      <c r="C9" s="12">
        <v>31</v>
      </c>
      <c r="D9" s="124">
        <v>31</v>
      </c>
      <c r="E9" s="120"/>
      <c r="F9" s="104">
        <v>6</v>
      </c>
      <c r="G9" s="104">
        <v>3</v>
      </c>
      <c r="H9" s="107">
        <f t="shared" si="0"/>
        <v>530000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32</v>
      </c>
      <c r="B10" s="307">
        <v>13.6</v>
      </c>
      <c r="C10" s="104">
        <v>31</v>
      </c>
      <c r="D10" s="105">
        <v>36</v>
      </c>
      <c r="E10" s="120"/>
      <c r="F10" s="104">
        <v>7</v>
      </c>
      <c r="G10" s="104">
        <v>2</v>
      </c>
      <c r="H10" s="107">
        <f t="shared" si="0"/>
        <v>410000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10</v>
      </c>
      <c r="B11" s="307">
        <v>15.2</v>
      </c>
      <c r="C11" s="104">
        <v>31</v>
      </c>
      <c r="D11" s="105">
        <v>31</v>
      </c>
      <c r="E11" s="106"/>
      <c r="F11" s="104">
        <v>8</v>
      </c>
      <c r="G11" s="121">
        <v>1</v>
      </c>
      <c r="H11" s="107">
        <f t="shared" si="0"/>
        <v>290000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36</v>
      </c>
      <c r="B12" s="307">
        <v>22.4</v>
      </c>
      <c r="C12" s="104">
        <v>31</v>
      </c>
      <c r="D12" s="105">
        <v>36</v>
      </c>
      <c r="E12" s="120"/>
      <c r="F12" s="104"/>
      <c r="G12" s="104"/>
      <c r="H12" s="107">
        <f aca="true" t="shared" si="2" ref="H12:H27">I12</f>
        <v>50000</v>
      </c>
      <c r="I12" s="108">
        <f t="shared" si="1"/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34</v>
      </c>
      <c r="B13" s="307">
        <v>14.1</v>
      </c>
      <c r="C13" s="105">
        <v>30</v>
      </c>
      <c r="D13" s="105">
        <v>33</v>
      </c>
      <c r="E13" s="106"/>
      <c r="F13" s="104"/>
      <c r="G13" s="104"/>
      <c r="H13" s="107">
        <f t="shared" si="2"/>
        <v>50000</v>
      </c>
      <c r="I13" s="108">
        <f t="shared" si="1"/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18</v>
      </c>
      <c r="B14" s="307">
        <v>14.7</v>
      </c>
      <c r="C14" s="104">
        <v>30</v>
      </c>
      <c r="D14" s="124">
        <v>32</v>
      </c>
      <c r="E14" s="120"/>
      <c r="F14" s="104"/>
      <c r="G14" s="104"/>
      <c r="H14" s="107">
        <f t="shared" si="2"/>
        <v>50000</v>
      </c>
      <c r="I14" s="108">
        <f t="shared" si="1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44</v>
      </c>
      <c r="B15" s="307">
        <v>13.1</v>
      </c>
      <c r="C15" s="104">
        <v>29</v>
      </c>
      <c r="D15" s="124">
        <v>36</v>
      </c>
      <c r="E15" s="106"/>
      <c r="F15" s="104"/>
      <c r="G15" s="104"/>
      <c r="H15" s="107">
        <f t="shared" si="2"/>
        <v>50000</v>
      </c>
      <c r="I15" s="108">
        <f t="shared" si="1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42</v>
      </c>
      <c r="B16" s="307">
        <v>17.5</v>
      </c>
      <c r="C16" s="105">
        <v>29</v>
      </c>
      <c r="D16" s="124">
        <v>35</v>
      </c>
      <c r="E16" s="106"/>
      <c r="F16" s="12"/>
      <c r="G16" s="12"/>
      <c r="H16" s="107">
        <f t="shared" si="2"/>
        <v>50000</v>
      </c>
      <c r="I16" s="108">
        <f t="shared" si="1"/>
        <v>50000</v>
      </c>
    </row>
    <row r="17" spans="1:13" s="113" customFormat="1" ht="18" customHeight="1">
      <c r="A17" s="196" t="s">
        <v>50</v>
      </c>
      <c r="B17" s="307">
        <v>23.3</v>
      </c>
      <c r="C17" s="105">
        <v>25</v>
      </c>
      <c r="D17" s="105">
        <v>36</v>
      </c>
      <c r="E17" s="120"/>
      <c r="F17" s="12"/>
      <c r="G17" s="12"/>
      <c r="H17" s="107">
        <f t="shared" si="2"/>
        <v>50000</v>
      </c>
      <c r="I17" s="108">
        <f t="shared" si="1"/>
        <v>50000</v>
      </c>
      <c r="J17" s="118"/>
      <c r="K17" s="118"/>
      <c r="L17" s="118"/>
      <c r="M17" s="119"/>
    </row>
    <row r="18" spans="1:13" s="113" customFormat="1" ht="18" customHeight="1">
      <c r="A18" s="196" t="s">
        <v>16</v>
      </c>
      <c r="B18" s="307">
        <v>18.9</v>
      </c>
      <c r="C18" s="105">
        <v>23</v>
      </c>
      <c r="D18" s="105">
        <v>37</v>
      </c>
      <c r="E18" s="120"/>
      <c r="F18" s="104"/>
      <c r="G18" s="104"/>
      <c r="H18" s="107">
        <f t="shared" si="2"/>
        <v>50000</v>
      </c>
      <c r="I18" s="108">
        <f t="shared" si="1"/>
        <v>50000</v>
      </c>
      <c r="J18" s="119"/>
      <c r="K18" s="119"/>
      <c r="L18" s="119"/>
      <c r="M18" s="119"/>
    </row>
    <row r="19" spans="1:13" s="113" customFormat="1" ht="18" customHeight="1">
      <c r="A19" s="196" t="s">
        <v>46</v>
      </c>
      <c r="B19" s="307">
        <v>18.5</v>
      </c>
      <c r="C19" s="12">
        <v>20</v>
      </c>
      <c r="D19" s="105">
        <v>39</v>
      </c>
      <c r="E19" s="106"/>
      <c r="F19" s="104"/>
      <c r="G19" s="104"/>
      <c r="H19" s="107">
        <f t="shared" si="2"/>
        <v>50000</v>
      </c>
      <c r="I19" s="108">
        <f t="shared" si="1"/>
        <v>50000</v>
      </c>
      <c r="J19" s="119"/>
      <c r="K19" s="119"/>
      <c r="L19" s="119"/>
      <c r="M19" s="119"/>
    </row>
    <row r="20" spans="1:9" s="88" customFormat="1" ht="18" customHeight="1">
      <c r="A20" s="196" t="s">
        <v>40</v>
      </c>
      <c r="B20" s="307">
        <v>25.5</v>
      </c>
      <c r="C20" s="104">
        <v>16</v>
      </c>
      <c r="D20" s="124">
        <v>42</v>
      </c>
      <c r="E20" s="106"/>
      <c r="F20" s="12"/>
      <c r="G20" s="12"/>
      <c r="H20" s="107">
        <f t="shared" si="2"/>
        <v>50000</v>
      </c>
      <c r="I20" s="108">
        <f t="shared" si="1"/>
        <v>50000</v>
      </c>
    </row>
    <row r="21" spans="1:9" s="88" customFormat="1" ht="18" customHeight="1">
      <c r="A21" s="196"/>
      <c r="B21" s="307"/>
      <c r="C21" s="105"/>
      <c r="D21" s="105"/>
      <c r="E21" s="106"/>
      <c r="F21" s="12"/>
      <c r="G21" s="12"/>
      <c r="H21" s="107">
        <f t="shared" si="2"/>
        <v>0</v>
      </c>
      <c r="I21" s="108">
        <f t="shared" si="1"/>
        <v>0</v>
      </c>
    </row>
    <row r="22" spans="1:9" s="88" customFormat="1" ht="18" customHeight="1">
      <c r="A22" s="196"/>
      <c r="B22" s="307"/>
      <c r="C22" s="105"/>
      <c r="D22" s="105"/>
      <c r="E22" s="106"/>
      <c r="F22" s="12"/>
      <c r="G22" s="12"/>
      <c r="H22" s="107">
        <f t="shared" si="2"/>
        <v>0</v>
      </c>
      <c r="I22" s="108">
        <f t="shared" si="1"/>
        <v>0</v>
      </c>
    </row>
    <row r="23" spans="1:9" s="88" customFormat="1" ht="18" customHeight="1">
      <c r="A23" s="196"/>
      <c r="B23" s="307"/>
      <c r="C23" s="105"/>
      <c r="D23" s="105"/>
      <c r="E23" s="106"/>
      <c r="F23" s="12"/>
      <c r="G23" s="12"/>
      <c r="H23" s="107">
        <f t="shared" si="2"/>
        <v>0</v>
      </c>
      <c r="I23" s="108">
        <f t="shared" si="1"/>
        <v>0</v>
      </c>
    </row>
    <row r="24" spans="1:9" s="88" customFormat="1" ht="18" customHeight="1">
      <c r="A24" s="196"/>
      <c r="B24" s="307"/>
      <c r="C24" s="12"/>
      <c r="D24" s="124"/>
      <c r="E24" s="106"/>
      <c r="F24" s="12"/>
      <c r="G24" s="12"/>
      <c r="H24" s="107">
        <f t="shared" si="2"/>
        <v>0</v>
      </c>
      <c r="I24" s="108">
        <f t="shared" si="1"/>
        <v>0</v>
      </c>
    </row>
    <row r="25" spans="1:9" s="88" customFormat="1" ht="18" customHeight="1">
      <c r="A25" s="196"/>
      <c r="B25" s="307"/>
      <c r="C25" s="104"/>
      <c r="D25" s="124"/>
      <c r="E25" s="106"/>
      <c r="F25" s="12"/>
      <c r="G25" s="12"/>
      <c r="H25" s="107">
        <f t="shared" si="2"/>
        <v>0</v>
      </c>
      <c r="I25" s="108">
        <f t="shared" si="1"/>
        <v>0</v>
      </c>
    </row>
    <row r="26" spans="1:9" s="88" customFormat="1" ht="18" customHeight="1">
      <c r="A26" s="196"/>
      <c r="B26" s="307"/>
      <c r="C26" s="12"/>
      <c r="D26" s="105"/>
      <c r="E26" s="106"/>
      <c r="F26" s="104"/>
      <c r="G26" s="104"/>
      <c r="H26" s="107">
        <f t="shared" si="2"/>
        <v>0</v>
      </c>
      <c r="I26" s="108">
        <f t="shared" si="1"/>
        <v>0</v>
      </c>
    </row>
    <row r="27" spans="1:9" s="88" customFormat="1" ht="18" customHeight="1">
      <c r="A27" s="196"/>
      <c r="B27" s="307"/>
      <c r="C27" s="104"/>
      <c r="D27" s="105"/>
      <c r="E27" s="120"/>
      <c r="F27" s="104"/>
      <c r="G27" s="104"/>
      <c r="H27" s="107">
        <f t="shared" si="2"/>
        <v>0</v>
      </c>
      <c r="I27" s="108">
        <f t="shared" si="1"/>
        <v>0</v>
      </c>
    </row>
    <row r="28" spans="1:9" ht="24" customHeight="1">
      <c r="A28" s="1"/>
      <c r="B28" s="3"/>
      <c r="C28" s="138"/>
      <c r="D28" s="139">
        <f>SUM(D4:D27)</f>
        <v>590</v>
      </c>
      <c r="E28" s="138"/>
      <c r="F28" s="3"/>
      <c r="G28" s="140">
        <f>SUM(G4:G27)</f>
        <v>39</v>
      </c>
      <c r="H28" s="140">
        <f>SUM(H4:H27)</f>
        <v>7210000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122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264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22</v>
      </c>
      <c r="B4" s="307">
        <v>15.3</v>
      </c>
      <c r="C4" s="104">
        <v>37</v>
      </c>
      <c r="D4" s="105">
        <v>28</v>
      </c>
      <c r="E4" s="106"/>
      <c r="F4" s="104">
        <v>1</v>
      </c>
      <c r="G4" s="104">
        <v>10</v>
      </c>
      <c r="H4" s="107">
        <f>N4+I4</f>
        <v>1550000</v>
      </c>
      <c r="I4" s="108">
        <f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34</v>
      </c>
      <c r="B5" s="307">
        <v>14.1</v>
      </c>
      <c r="C5" s="104">
        <v>35</v>
      </c>
      <c r="D5" s="105">
        <v>34</v>
      </c>
      <c r="E5" s="106"/>
      <c r="F5" s="104">
        <v>2</v>
      </c>
      <c r="G5" s="104">
        <v>8</v>
      </c>
      <c r="H5" s="107">
        <f aca="true" t="shared" si="0" ref="H5:H11">N5+I5</f>
        <v>1250000</v>
      </c>
      <c r="I5" s="108">
        <f aca="true" t="shared" si="1" ref="I5:I11">IF(E5&gt;0,$N$13,0)+IF(C5&gt;0,50000,0)+IF(C13&lt;0,50000,0)</f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48</v>
      </c>
      <c r="B6" s="307">
        <v>7.8</v>
      </c>
      <c r="C6" s="105">
        <v>34</v>
      </c>
      <c r="D6" s="124">
        <v>33</v>
      </c>
      <c r="E6" s="106"/>
      <c r="F6" s="12">
        <v>3</v>
      </c>
      <c r="G6" s="12">
        <v>6</v>
      </c>
      <c r="H6" s="107">
        <f t="shared" si="0"/>
        <v>950000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18</v>
      </c>
      <c r="B7" s="307">
        <v>14.7</v>
      </c>
      <c r="C7" s="104">
        <v>33</v>
      </c>
      <c r="D7" s="105">
        <v>33</v>
      </c>
      <c r="E7" s="106"/>
      <c r="F7" s="104">
        <v>4</v>
      </c>
      <c r="G7" s="104">
        <v>5</v>
      </c>
      <c r="H7" s="107">
        <f t="shared" si="0"/>
        <v>770000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42</v>
      </c>
      <c r="B8" s="307">
        <v>17.5</v>
      </c>
      <c r="C8" s="104">
        <v>33</v>
      </c>
      <c r="D8" s="124">
        <v>37</v>
      </c>
      <c r="E8" s="120"/>
      <c r="F8" s="104">
        <v>5</v>
      </c>
      <c r="G8" s="104">
        <v>4</v>
      </c>
      <c r="H8" s="107">
        <f t="shared" si="0"/>
        <v>650000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40</v>
      </c>
      <c r="B9" s="307">
        <v>25.5</v>
      </c>
      <c r="C9" s="105">
        <v>33</v>
      </c>
      <c r="D9" s="105">
        <v>33</v>
      </c>
      <c r="E9" s="106"/>
      <c r="F9" s="121">
        <v>6</v>
      </c>
      <c r="G9" s="121">
        <v>3</v>
      </c>
      <c r="H9" s="107">
        <f t="shared" si="0"/>
        <v>530000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28</v>
      </c>
      <c r="B10" s="307">
        <v>11.9</v>
      </c>
      <c r="C10" s="105">
        <v>32</v>
      </c>
      <c r="D10" s="105">
        <v>32</v>
      </c>
      <c r="E10" s="106"/>
      <c r="F10" s="104">
        <v>7</v>
      </c>
      <c r="G10" s="104">
        <v>2</v>
      </c>
      <c r="H10" s="107">
        <f t="shared" si="0"/>
        <v>410000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30</v>
      </c>
      <c r="B11" s="307">
        <v>12.1</v>
      </c>
      <c r="C11" s="124">
        <v>32</v>
      </c>
      <c r="D11" s="105">
        <v>34</v>
      </c>
      <c r="E11" s="106"/>
      <c r="F11" s="104">
        <v>8</v>
      </c>
      <c r="G11" s="104">
        <v>1</v>
      </c>
      <c r="H11" s="107">
        <f t="shared" si="0"/>
        <v>290000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32</v>
      </c>
      <c r="B12" s="307">
        <v>13.6</v>
      </c>
      <c r="C12" s="105">
        <v>32</v>
      </c>
      <c r="D12" s="105">
        <v>33</v>
      </c>
      <c r="E12" s="106"/>
      <c r="F12" s="104"/>
      <c r="G12" s="104"/>
      <c r="H12" s="107">
        <f>I12</f>
        <v>50000</v>
      </c>
      <c r="I12" s="108">
        <f>IF(E12&gt;0,$N$13,0)+IF(C12&gt;0,50000,0)+IF(C12&lt;0,50000,0)</f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36</v>
      </c>
      <c r="B13" s="307">
        <v>22.4</v>
      </c>
      <c r="C13" s="104">
        <v>31</v>
      </c>
      <c r="D13" s="124">
        <v>36</v>
      </c>
      <c r="E13" s="120"/>
      <c r="F13" s="104"/>
      <c r="G13" s="104"/>
      <c r="H13" s="107">
        <f aca="true" t="shared" si="2" ref="H13:H27">I13</f>
        <v>50000</v>
      </c>
      <c r="I13" s="108">
        <f aca="true" t="shared" si="3" ref="I13:I27">IF(E13&gt;0,$N$13,0)+IF(C13&gt;0,50000,0)+IF(C13&lt;0,50000,0)</f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8</v>
      </c>
      <c r="B14" s="307">
        <v>23.2</v>
      </c>
      <c r="C14" s="104">
        <v>31</v>
      </c>
      <c r="D14" s="105">
        <v>37</v>
      </c>
      <c r="E14" s="106"/>
      <c r="F14" s="104"/>
      <c r="G14" s="104"/>
      <c r="H14" s="107">
        <f t="shared" si="2"/>
        <v>50000</v>
      </c>
      <c r="I14" s="108">
        <f t="shared" si="3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38</v>
      </c>
      <c r="B15" s="307">
        <v>14.5</v>
      </c>
      <c r="C15" s="104">
        <v>29</v>
      </c>
      <c r="D15" s="105">
        <v>32</v>
      </c>
      <c r="E15" s="120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12</v>
      </c>
      <c r="B16" s="307">
        <v>19</v>
      </c>
      <c r="C16" s="12">
        <v>29</v>
      </c>
      <c r="D16" s="105">
        <v>38</v>
      </c>
      <c r="E16" s="120"/>
      <c r="F16" s="12"/>
      <c r="G16" s="12"/>
      <c r="H16" s="107">
        <f t="shared" si="2"/>
        <v>50000</v>
      </c>
      <c r="I16" s="108">
        <f t="shared" si="3"/>
        <v>50000</v>
      </c>
    </row>
    <row r="17" spans="1:13" s="113" customFormat="1" ht="18" customHeight="1">
      <c r="A17" s="196" t="s">
        <v>24</v>
      </c>
      <c r="B17" s="307">
        <v>14.9</v>
      </c>
      <c r="C17" s="104">
        <v>25</v>
      </c>
      <c r="D17" s="105">
        <v>35</v>
      </c>
      <c r="E17" s="106"/>
      <c r="F17" s="12"/>
      <c r="G17" s="12"/>
      <c r="H17" s="107">
        <f t="shared" si="2"/>
        <v>50000</v>
      </c>
      <c r="I17" s="108">
        <f t="shared" si="3"/>
        <v>50000</v>
      </c>
      <c r="J17" s="118"/>
      <c r="K17" s="118"/>
      <c r="L17" s="118"/>
      <c r="M17" s="119"/>
    </row>
    <row r="18" spans="1:13" s="113" customFormat="1" ht="18" customHeight="1">
      <c r="A18" s="196" t="s">
        <v>46</v>
      </c>
      <c r="B18" s="307">
        <v>18.5</v>
      </c>
      <c r="C18" s="12">
        <v>25</v>
      </c>
      <c r="D18" s="124">
        <v>37</v>
      </c>
      <c r="E18" s="120"/>
      <c r="F18" s="104"/>
      <c r="G18" s="104"/>
      <c r="H18" s="107">
        <f t="shared" si="2"/>
        <v>50000</v>
      </c>
      <c r="I18" s="108">
        <f t="shared" si="3"/>
        <v>50000</v>
      </c>
      <c r="J18" s="119"/>
      <c r="K18" s="119"/>
      <c r="L18" s="119"/>
      <c r="M18" s="119"/>
    </row>
    <row r="19" spans="1:13" s="113" customFormat="1" ht="18" customHeight="1">
      <c r="A19" s="196" t="s">
        <v>26</v>
      </c>
      <c r="B19" s="307">
        <v>21.4</v>
      </c>
      <c r="C19" s="104">
        <v>25</v>
      </c>
      <c r="D19" s="105">
        <v>35</v>
      </c>
      <c r="E19" s="106"/>
      <c r="F19" s="104"/>
      <c r="G19" s="104"/>
      <c r="H19" s="107">
        <f t="shared" si="2"/>
        <v>50000</v>
      </c>
      <c r="I19" s="108">
        <f t="shared" si="3"/>
        <v>50000</v>
      </c>
      <c r="J19" s="119"/>
      <c r="K19" s="119"/>
      <c r="L19" s="119"/>
      <c r="M19" s="119"/>
    </row>
    <row r="20" spans="1:9" s="88" customFormat="1" ht="18" customHeight="1">
      <c r="A20" s="196" t="s">
        <v>50</v>
      </c>
      <c r="B20" s="307">
        <v>23.3</v>
      </c>
      <c r="C20" s="104">
        <v>25</v>
      </c>
      <c r="D20" s="124">
        <v>35</v>
      </c>
      <c r="E20" s="106"/>
      <c r="F20" s="12"/>
      <c r="G20" s="12"/>
      <c r="H20" s="107">
        <f t="shared" si="2"/>
        <v>50000</v>
      </c>
      <c r="I20" s="108">
        <f t="shared" si="3"/>
        <v>50000</v>
      </c>
    </row>
    <row r="21" spans="1:9" s="88" customFormat="1" ht="18" customHeight="1">
      <c r="A21" s="196" t="s">
        <v>10</v>
      </c>
      <c r="B21" s="307">
        <v>15.2</v>
      </c>
      <c r="C21" s="104">
        <v>22</v>
      </c>
      <c r="D21" s="124">
        <v>34</v>
      </c>
      <c r="E21" s="106"/>
      <c r="F21" s="12"/>
      <c r="G21" s="12"/>
      <c r="H21" s="107">
        <f t="shared" si="2"/>
        <v>50000</v>
      </c>
      <c r="I21" s="108">
        <f t="shared" si="3"/>
        <v>50000</v>
      </c>
    </row>
    <row r="22" spans="1:9" s="88" customFormat="1" ht="18" customHeight="1">
      <c r="A22" s="196" t="s">
        <v>16</v>
      </c>
      <c r="B22" s="307">
        <v>18.9</v>
      </c>
      <c r="C22" s="104" t="s">
        <v>263</v>
      </c>
      <c r="D22" s="105">
        <v>37</v>
      </c>
      <c r="E22" s="106"/>
      <c r="F22" s="12"/>
      <c r="G22" s="12"/>
      <c r="H22" s="107">
        <f t="shared" si="2"/>
        <v>50000</v>
      </c>
      <c r="I22" s="108">
        <f t="shared" si="3"/>
        <v>50000</v>
      </c>
    </row>
    <row r="23" spans="1:9" s="88" customFormat="1" ht="18" customHeight="1">
      <c r="A23" s="196"/>
      <c r="B23" s="307"/>
      <c r="C23" s="104"/>
      <c r="D23" s="105"/>
      <c r="E23" s="106"/>
      <c r="F23" s="12"/>
      <c r="G23" s="12"/>
      <c r="H23" s="107">
        <f t="shared" si="2"/>
        <v>0</v>
      </c>
      <c r="I23" s="108">
        <f>IF(E23&gt;0,$N$13,0)+IF(C23&gt;0,50000,0)+IF(C23&lt;0,50000,0)</f>
        <v>0</v>
      </c>
    </row>
    <row r="24" spans="1:9" s="88" customFormat="1" ht="18" customHeight="1">
      <c r="A24" s="196"/>
      <c r="B24" s="307"/>
      <c r="C24" s="105"/>
      <c r="D24" s="124"/>
      <c r="E24" s="120"/>
      <c r="F24" s="12"/>
      <c r="G24" s="12"/>
      <c r="H24" s="107">
        <f t="shared" si="2"/>
        <v>0</v>
      </c>
      <c r="I24" s="108">
        <f t="shared" si="3"/>
        <v>0</v>
      </c>
    </row>
    <row r="25" spans="1:9" s="88" customFormat="1" ht="18" customHeight="1">
      <c r="A25" s="196"/>
      <c r="B25" s="307"/>
      <c r="C25" s="104"/>
      <c r="D25" s="124"/>
      <c r="E25" s="120"/>
      <c r="F25" s="12"/>
      <c r="G25" s="12"/>
      <c r="H25" s="107">
        <f t="shared" si="2"/>
        <v>0</v>
      </c>
      <c r="I25" s="108">
        <f t="shared" si="3"/>
        <v>0</v>
      </c>
    </row>
    <row r="26" spans="1:9" s="88" customFormat="1" ht="18" customHeight="1">
      <c r="A26" s="196"/>
      <c r="B26" s="307"/>
      <c r="C26" s="105"/>
      <c r="D26" s="105"/>
      <c r="E26" s="120"/>
      <c r="F26" s="104"/>
      <c r="G26" s="104"/>
      <c r="H26" s="107">
        <f t="shared" si="2"/>
        <v>0</v>
      </c>
      <c r="I26" s="108">
        <f t="shared" si="3"/>
        <v>0</v>
      </c>
    </row>
    <row r="27" spans="1:9" s="88" customFormat="1" ht="18" customHeight="1">
      <c r="A27" s="196"/>
      <c r="B27" s="307"/>
      <c r="C27" s="104"/>
      <c r="D27" s="105"/>
      <c r="E27" s="106"/>
      <c r="F27" s="104"/>
      <c r="G27" s="104"/>
      <c r="H27" s="107">
        <f t="shared" si="2"/>
        <v>0</v>
      </c>
      <c r="I27" s="108">
        <f t="shared" si="3"/>
        <v>0</v>
      </c>
    </row>
    <row r="28" spans="1:9" ht="24" customHeight="1">
      <c r="A28" s="1"/>
      <c r="B28" s="3"/>
      <c r="C28" s="138"/>
      <c r="D28" s="139">
        <f>SUM(D4:D27)</f>
        <v>653</v>
      </c>
      <c r="E28" s="138"/>
      <c r="F28" s="3"/>
      <c r="G28" s="140">
        <f>SUM(G4:G27)</f>
        <v>39</v>
      </c>
      <c r="H28" s="140">
        <f>SUM(H4:H27)</f>
        <v>6950000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124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261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38</v>
      </c>
      <c r="B4" s="307">
        <v>14.5</v>
      </c>
      <c r="C4" s="104">
        <v>35</v>
      </c>
      <c r="D4" s="124">
        <v>30</v>
      </c>
      <c r="E4" s="106"/>
      <c r="F4" s="104">
        <v>1</v>
      </c>
      <c r="G4" s="104">
        <v>10</v>
      </c>
      <c r="H4" s="107">
        <f>N4+I4</f>
        <v>1550000</v>
      </c>
      <c r="I4" s="108">
        <f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48</v>
      </c>
      <c r="B5" s="307">
        <v>7.7</v>
      </c>
      <c r="C5" s="104">
        <v>33</v>
      </c>
      <c r="D5" s="124">
        <v>32</v>
      </c>
      <c r="E5" s="106">
        <v>5.04</v>
      </c>
      <c r="F5" s="104">
        <v>2</v>
      </c>
      <c r="G5" s="104">
        <v>8</v>
      </c>
      <c r="H5" s="107">
        <f aca="true" t="shared" si="0" ref="H5:H11">N5+I5</f>
        <v>1610000</v>
      </c>
      <c r="I5" s="108">
        <f aca="true" t="shared" si="1" ref="I5:I11">IF(E5&gt;0,$N$13,0)+IF(C5&gt;0,50000,0)+IF(C13&lt;0,50000,0)</f>
        <v>410000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32</v>
      </c>
      <c r="B6" s="307">
        <v>13.6</v>
      </c>
      <c r="C6" s="104">
        <v>33</v>
      </c>
      <c r="D6" s="105">
        <v>37</v>
      </c>
      <c r="E6" s="106"/>
      <c r="F6" s="12">
        <v>3</v>
      </c>
      <c r="G6" s="12">
        <v>6</v>
      </c>
      <c r="H6" s="107">
        <f t="shared" si="0"/>
        <v>950000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16</v>
      </c>
      <c r="B7" s="307">
        <v>18.6</v>
      </c>
      <c r="C7" s="105">
        <v>33</v>
      </c>
      <c r="D7" s="124">
        <v>32</v>
      </c>
      <c r="E7" s="106"/>
      <c r="F7" s="104">
        <v>4</v>
      </c>
      <c r="G7" s="104">
        <v>5</v>
      </c>
      <c r="H7" s="107">
        <f t="shared" si="0"/>
        <v>770000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52</v>
      </c>
      <c r="B8" s="307">
        <v>13.7</v>
      </c>
      <c r="C8" s="104">
        <v>31</v>
      </c>
      <c r="D8" s="124">
        <v>34</v>
      </c>
      <c r="E8" s="120"/>
      <c r="F8" s="104">
        <v>5</v>
      </c>
      <c r="G8" s="104">
        <v>4</v>
      </c>
      <c r="H8" s="107">
        <f t="shared" si="0"/>
        <v>650000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18</v>
      </c>
      <c r="B9" s="307">
        <v>14.6</v>
      </c>
      <c r="C9" s="105">
        <v>31</v>
      </c>
      <c r="D9" s="124">
        <v>30</v>
      </c>
      <c r="E9" s="106"/>
      <c r="F9" s="121">
        <v>6</v>
      </c>
      <c r="G9" s="121">
        <v>3</v>
      </c>
      <c r="H9" s="107">
        <f t="shared" si="0"/>
        <v>530000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28</v>
      </c>
      <c r="B10" s="307">
        <v>11.8</v>
      </c>
      <c r="C10" s="124">
        <v>30</v>
      </c>
      <c r="D10" s="105">
        <v>35</v>
      </c>
      <c r="E10" s="120"/>
      <c r="F10" s="104">
        <v>7</v>
      </c>
      <c r="G10" s="104">
        <v>2</v>
      </c>
      <c r="H10" s="107">
        <f t="shared" si="0"/>
        <v>410000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34</v>
      </c>
      <c r="B11" s="307">
        <v>14</v>
      </c>
      <c r="C11" s="105">
        <v>29</v>
      </c>
      <c r="D11" s="105">
        <v>32</v>
      </c>
      <c r="E11" s="106"/>
      <c r="F11" s="104">
        <v>8</v>
      </c>
      <c r="G11" s="104">
        <v>1</v>
      </c>
      <c r="H11" s="107">
        <f t="shared" si="0"/>
        <v>290000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42</v>
      </c>
      <c r="B12" s="307">
        <v>17.4</v>
      </c>
      <c r="C12" s="104">
        <v>28</v>
      </c>
      <c r="D12" s="105">
        <v>32</v>
      </c>
      <c r="E12" s="106"/>
      <c r="F12" s="104"/>
      <c r="G12" s="104"/>
      <c r="H12" s="107">
        <f>I12</f>
        <v>50000</v>
      </c>
      <c r="I12" s="108">
        <f>IF(E12&gt;0,$N$13,0)+IF(C12&gt;0,50000,0)+IF(C12&lt;0,50000,0)</f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12</v>
      </c>
      <c r="B13" s="307">
        <v>18.9</v>
      </c>
      <c r="C13" s="104">
        <v>28</v>
      </c>
      <c r="D13" s="105">
        <v>35</v>
      </c>
      <c r="E13" s="120"/>
      <c r="F13" s="104"/>
      <c r="G13" s="104"/>
      <c r="H13" s="107">
        <f aca="true" t="shared" si="2" ref="H13:H27">I13</f>
        <v>50000</v>
      </c>
      <c r="I13" s="108">
        <f aca="true" t="shared" si="3" ref="I13:I27">IF(E13&gt;0,$N$13,0)+IF(C13&gt;0,50000,0)+IF(C13&lt;0,50000,0)</f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36</v>
      </c>
      <c r="B14" s="307">
        <v>22.3</v>
      </c>
      <c r="C14" s="104">
        <v>27</v>
      </c>
      <c r="D14" s="105">
        <v>36</v>
      </c>
      <c r="E14" s="120"/>
      <c r="F14" s="104"/>
      <c r="G14" s="104"/>
      <c r="H14" s="107">
        <f t="shared" si="2"/>
        <v>50000</v>
      </c>
      <c r="I14" s="108">
        <f t="shared" si="3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26</v>
      </c>
      <c r="B15" s="307">
        <v>21.3</v>
      </c>
      <c r="C15" s="104">
        <v>26</v>
      </c>
      <c r="D15" s="124">
        <v>32</v>
      </c>
      <c r="E15" s="106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20</v>
      </c>
      <c r="B16" s="307">
        <v>17.8</v>
      </c>
      <c r="C16" s="104">
        <v>22</v>
      </c>
      <c r="D16" s="105">
        <v>39</v>
      </c>
      <c r="E16" s="106"/>
      <c r="F16" s="12"/>
      <c r="G16" s="12"/>
      <c r="H16" s="107">
        <f t="shared" si="2"/>
        <v>50000</v>
      </c>
      <c r="I16" s="108">
        <f t="shared" si="3"/>
        <v>50000</v>
      </c>
    </row>
    <row r="17" spans="1:13" s="113" customFormat="1" ht="18" customHeight="1">
      <c r="A17" s="196"/>
      <c r="B17" s="307"/>
      <c r="C17" s="12"/>
      <c r="D17" s="124"/>
      <c r="E17" s="106"/>
      <c r="F17" s="12"/>
      <c r="G17" s="12"/>
      <c r="H17" s="107">
        <f t="shared" si="2"/>
        <v>0</v>
      </c>
      <c r="I17" s="108">
        <f t="shared" si="3"/>
        <v>0</v>
      </c>
      <c r="J17" s="118"/>
      <c r="K17" s="118"/>
      <c r="L17" s="118"/>
      <c r="M17" s="119"/>
    </row>
    <row r="18" spans="1:13" s="113" customFormat="1" ht="18" customHeight="1">
      <c r="A18" s="196"/>
      <c r="B18" s="307"/>
      <c r="C18" s="104"/>
      <c r="D18" s="105"/>
      <c r="E18" s="120"/>
      <c r="F18" s="104"/>
      <c r="G18" s="104"/>
      <c r="H18" s="107">
        <f t="shared" si="2"/>
        <v>0</v>
      </c>
      <c r="I18" s="108">
        <f t="shared" si="3"/>
        <v>0</v>
      </c>
      <c r="J18" s="119"/>
      <c r="K18" s="119"/>
      <c r="L18" s="119"/>
      <c r="M18" s="119"/>
    </row>
    <row r="19" spans="1:13" s="113" customFormat="1" ht="18" customHeight="1">
      <c r="A19" s="196"/>
      <c r="B19" s="307"/>
      <c r="C19" s="104"/>
      <c r="D19" s="105"/>
      <c r="E19" s="106"/>
      <c r="F19" s="104"/>
      <c r="G19" s="104"/>
      <c r="H19" s="107">
        <f t="shared" si="2"/>
        <v>0</v>
      </c>
      <c r="I19" s="108">
        <f t="shared" si="3"/>
        <v>0</v>
      </c>
      <c r="J19" s="119"/>
      <c r="K19" s="119"/>
      <c r="L19" s="119"/>
      <c r="M19" s="119"/>
    </row>
    <row r="20" spans="1:9" s="88" customFormat="1" ht="18" customHeight="1">
      <c r="A20" s="196"/>
      <c r="B20" s="307"/>
      <c r="C20" s="105"/>
      <c r="D20" s="105"/>
      <c r="E20" s="120"/>
      <c r="F20" s="12"/>
      <c r="G20" s="12"/>
      <c r="H20" s="107">
        <f t="shared" si="2"/>
        <v>0</v>
      </c>
      <c r="I20" s="108">
        <f t="shared" si="3"/>
        <v>0</v>
      </c>
    </row>
    <row r="21" spans="1:9" s="88" customFormat="1" ht="18" customHeight="1">
      <c r="A21" s="196"/>
      <c r="B21" s="307"/>
      <c r="C21" s="105"/>
      <c r="D21" s="105"/>
      <c r="E21" s="120"/>
      <c r="F21" s="12"/>
      <c r="G21" s="12"/>
      <c r="H21" s="107">
        <f t="shared" si="2"/>
        <v>0</v>
      </c>
      <c r="I21" s="108">
        <f t="shared" si="3"/>
        <v>0</v>
      </c>
    </row>
    <row r="22" spans="1:9" s="88" customFormat="1" ht="18" customHeight="1">
      <c r="A22" s="196"/>
      <c r="B22" s="307"/>
      <c r="C22" s="104"/>
      <c r="D22" s="105"/>
      <c r="E22" s="120"/>
      <c r="F22" s="12"/>
      <c r="G22" s="12"/>
      <c r="H22" s="107">
        <f t="shared" si="2"/>
        <v>0</v>
      </c>
      <c r="I22" s="108">
        <f t="shared" si="3"/>
        <v>0</v>
      </c>
    </row>
    <row r="23" spans="1:9" s="88" customFormat="1" ht="18" customHeight="1">
      <c r="A23" s="196"/>
      <c r="B23" s="307"/>
      <c r="C23" s="104"/>
      <c r="D23" s="124"/>
      <c r="E23" s="106"/>
      <c r="F23" s="12"/>
      <c r="G23" s="12"/>
      <c r="H23" s="107">
        <f t="shared" si="2"/>
        <v>0</v>
      </c>
      <c r="I23" s="108">
        <f t="shared" si="3"/>
        <v>0</v>
      </c>
    </row>
    <row r="24" spans="1:9" s="88" customFormat="1" ht="18" customHeight="1">
      <c r="A24" s="196"/>
      <c r="B24" s="307"/>
      <c r="C24" s="104"/>
      <c r="D24" s="105"/>
      <c r="E24" s="106"/>
      <c r="F24" s="12"/>
      <c r="G24" s="12"/>
      <c r="H24" s="107">
        <f t="shared" si="2"/>
        <v>0</v>
      </c>
      <c r="I24" s="108">
        <f t="shared" si="3"/>
        <v>0</v>
      </c>
    </row>
    <row r="25" spans="1:9" s="88" customFormat="1" ht="18" customHeight="1">
      <c r="A25" s="196"/>
      <c r="B25" s="307"/>
      <c r="C25" s="104"/>
      <c r="D25" s="105"/>
      <c r="E25" s="106"/>
      <c r="F25" s="12"/>
      <c r="G25" s="12"/>
      <c r="H25" s="107">
        <f t="shared" si="2"/>
        <v>0</v>
      </c>
      <c r="I25" s="108">
        <f t="shared" si="3"/>
        <v>0</v>
      </c>
    </row>
    <row r="26" spans="1:9" s="88" customFormat="1" ht="18" customHeight="1">
      <c r="A26" s="196"/>
      <c r="B26" s="307"/>
      <c r="C26" s="105"/>
      <c r="D26" s="105"/>
      <c r="E26" s="106"/>
      <c r="F26" s="104"/>
      <c r="G26" s="104"/>
      <c r="H26" s="107">
        <f t="shared" si="2"/>
        <v>0</v>
      </c>
      <c r="I26" s="108">
        <f t="shared" si="3"/>
        <v>0</v>
      </c>
    </row>
    <row r="27" spans="1:9" s="88" customFormat="1" ht="18" customHeight="1">
      <c r="A27" s="196"/>
      <c r="B27" s="307"/>
      <c r="C27" s="12"/>
      <c r="D27" s="105"/>
      <c r="E27" s="106"/>
      <c r="F27" s="104"/>
      <c r="G27" s="104"/>
      <c r="H27" s="107">
        <f t="shared" si="2"/>
        <v>0</v>
      </c>
      <c r="I27" s="108">
        <f t="shared" si="3"/>
        <v>0</v>
      </c>
    </row>
    <row r="28" spans="1:9" ht="24" customHeight="1">
      <c r="A28" s="1"/>
      <c r="B28" s="3"/>
      <c r="C28" s="138"/>
      <c r="D28" s="139">
        <f>SUM(D4:D27)</f>
        <v>436</v>
      </c>
      <c r="E28" s="138"/>
      <c r="F28" s="3"/>
      <c r="G28" s="140">
        <f>SUM(G4:G27)</f>
        <v>39</v>
      </c>
      <c r="H28" s="140">
        <f>SUM(H4:H27)</f>
        <v>7010000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123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258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18</v>
      </c>
      <c r="B4" s="307">
        <v>14.6</v>
      </c>
      <c r="C4" s="104">
        <v>72</v>
      </c>
      <c r="D4" s="105">
        <v>31</v>
      </c>
      <c r="E4" s="106">
        <v>6.76</v>
      </c>
      <c r="F4" s="104">
        <v>1</v>
      </c>
      <c r="G4" s="104">
        <v>10</v>
      </c>
      <c r="H4" s="107">
        <v>1650000</v>
      </c>
      <c r="I4" s="108">
        <f>IF(E4&gt;0,$N$13,0)+IF(C4&gt;0,50000,0)+IF(C12&lt;0,50000,0)</f>
        <v>410000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44</v>
      </c>
      <c r="B5" s="307">
        <v>13.3</v>
      </c>
      <c r="C5" s="104">
        <v>74</v>
      </c>
      <c r="D5" s="105">
        <v>33</v>
      </c>
      <c r="E5" s="106"/>
      <c r="F5" s="104">
        <v>2</v>
      </c>
      <c r="G5" s="104">
        <v>8</v>
      </c>
      <c r="H5" s="107">
        <f aca="true" t="shared" si="0" ref="H5:H10">N5+I5</f>
        <v>1250000</v>
      </c>
      <c r="I5" s="108">
        <f aca="true" t="shared" si="1" ref="I5:I11">IF(E5&gt;0,$N$13,0)+IF(C5&gt;0,50000,0)+IF(C13&lt;0,50000,0)</f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38</v>
      </c>
      <c r="B6" s="307">
        <v>14.4</v>
      </c>
      <c r="C6" s="104">
        <v>74</v>
      </c>
      <c r="D6" s="105">
        <v>34</v>
      </c>
      <c r="E6" s="106"/>
      <c r="F6" s="12">
        <v>3</v>
      </c>
      <c r="G6" s="12">
        <v>6</v>
      </c>
      <c r="H6" s="107">
        <f t="shared" si="0"/>
        <v>950000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42</v>
      </c>
      <c r="B7" s="307">
        <v>18.3</v>
      </c>
      <c r="C7" s="104">
        <v>74</v>
      </c>
      <c r="D7" s="124">
        <v>34</v>
      </c>
      <c r="E7" s="120"/>
      <c r="F7" s="104">
        <v>4</v>
      </c>
      <c r="G7" s="104">
        <v>5</v>
      </c>
      <c r="H7" s="107">
        <f t="shared" si="0"/>
        <v>770000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48</v>
      </c>
      <c r="B8" s="307">
        <v>7.3</v>
      </c>
      <c r="C8" s="12">
        <v>75</v>
      </c>
      <c r="D8" s="124">
        <v>32</v>
      </c>
      <c r="E8" s="359">
        <v>5.84</v>
      </c>
      <c r="F8" s="104">
        <v>5</v>
      </c>
      <c r="G8" s="104">
        <v>4</v>
      </c>
      <c r="H8" s="107">
        <v>750000</v>
      </c>
      <c r="I8" s="108">
        <f t="shared" si="1"/>
        <v>410000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10</v>
      </c>
      <c r="B9" s="307">
        <v>15.1</v>
      </c>
      <c r="C9" s="105">
        <v>75</v>
      </c>
      <c r="D9" s="105">
        <v>32</v>
      </c>
      <c r="E9" s="106"/>
      <c r="F9" s="121">
        <v>6</v>
      </c>
      <c r="G9" s="121">
        <v>3</v>
      </c>
      <c r="H9" s="107">
        <f t="shared" si="0"/>
        <v>530000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12</v>
      </c>
      <c r="B10" s="307">
        <v>18.8</v>
      </c>
      <c r="C10" s="104">
        <v>76</v>
      </c>
      <c r="D10" s="124">
        <v>36</v>
      </c>
      <c r="E10" s="120"/>
      <c r="F10" s="104">
        <v>7</v>
      </c>
      <c r="G10" s="104">
        <v>2</v>
      </c>
      <c r="H10" s="107">
        <f t="shared" si="0"/>
        <v>410000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14</v>
      </c>
      <c r="B11" s="307">
        <v>10.2</v>
      </c>
      <c r="C11" s="104">
        <v>77</v>
      </c>
      <c r="D11" s="105">
        <v>30</v>
      </c>
      <c r="E11" s="106">
        <v>14.08</v>
      </c>
      <c r="F11" s="104">
        <v>8</v>
      </c>
      <c r="G11" s="104">
        <v>1</v>
      </c>
      <c r="H11" s="107">
        <v>390000</v>
      </c>
      <c r="I11" s="108">
        <f t="shared" si="1"/>
        <v>410000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333</v>
      </c>
      <c r="B12" s="307">
        <v>11.7</v>
      </c>
      <c r="C12" s="104">
        <v>78</v>
      </c>
      <c r="D12" s="105">
        <v>28</v>
      </c>
      <c r="E12" s="120" t="s">
        <v>223</v>
      </c>
      <c r="F12" s="104"/>
      <c r="G12" s="104"/>
      <c r="H12" s="107">
        <v>510000</v>
      </c>
      <c r="I12" s="108">
        <f>IF(E12&gt;0,$N$13,0)+IF(C12&gt;0,50000,0)+IF(C12&lt;0,50000,0)</f>
        <v>410000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30</v>
      </c>
      <c r="B13" s="307">
        <v>12</v>
      </c>
      <c r="C13" s="104">
        <v>78</v>
      </c>
      <c r="D13" s="105">
        <v>35</v>
      </c>
      <c r="E13" s="120"/>
      <c r="F13" s="104"/>
      <c r="G13" s="104"/>
      <c r="H13" s="107">
        <f aca="true" t="shared" si="2" ref="H13:H27">I13</f>
        <v>50000</v>
      </c>
      <c r="I13" s="108">
        <f aca="true" t="shared" si="3" ref="I13:I27">IF(E13&gt;0,$N$13,0)+IF(C13&gt;0,50000,0)+IF(C13&lt;0,50000,0)</f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28</v>
      </c>
      <c r="B14" s="307">
        <v>11.5</v>
      </c>
      <c r="C14" s="124">
        <v>79</v>
      </c>
      <c r="D14" s="105">
        <v>33</v>
      </c>
      <c r="E14" s="120"/>
      <c r="F14" s="104"/>
      <c r="G14" s="104"/>
      <c r="H14" s="107">
        <f t="shared" si="2"/>
        <v>50000</v>
      </c>
      <c r="I14" s="108">
        <f t="shared" si="3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34</v>
      </c>
      <c r="B15" s="307">
        <v>14.1</v>
      </c>
      <c r="C15" s="104">
        <v>79</v>
      </c>
      <c r="D15" s="105">
        <v>31</v>
      </c>
      <c r="E15" s="106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16</v>
      </c>
      <c r="B16" s="307">
        <v>18.9</v>
      </c>
      <c r="C16" s="105">
        <v>81</v>
      </c>
      <c r="D16" s="124">
        <v>33</v>
      </c>
      <c r="E16" s="120"/>
      <c r="F16" s="12"/>
      <c r="G16" s="12"/>
      <c r="H16" s="107">
        <f t="shared" si="2"/>
        <v>50000</v>
      </c>
      <c r="I16" s="108">
        <f t="shared" si="3"/>
        <v>50000</v>
      </c>
    </row>
    <row r="17" spans="1:13" s="113" customFormat="1" ht="18" customHeight="1">
      <c r="A17" s="196" t="s">
        <v>22</v>
      </c>
      <c r="B17" s="307">
        <v>15.5</v>
      </c>
      <c r="C17" s="104">
        <v>82</v>
      </c>
      <c r="D17" s="105">
        <v>39</v>
      </c>
      <c r="E17" s="106"/>
      <c r="F17" s="12"/>
      <c r="G17" s="12"/>
      <c r="H17" s="107">
        <f t="shared" si="2"/>
        <v>50000</v>
      </c>
      <c r="I17" s="108">
        <f t="shared" si="3"/>
        <v>50000</v>
      </c>
      <c r="J17" s="118"/>
      <c r="K17" s="118"/>
      <c r="L17" s="118"/>
      <c r="M17" s="119"/>
    </row>
    <row r="18" spans="1:13" s="113" customFormat="1" ht="18" customHeight="1">
      <c r="A18" s="196" t="s">
        <v>8</v>
      </c>
      <c r="B18" s="307">
        <v>23.1</v>
      </c>
      <c r="C18" s="105">
        <v>83</v>
      </c>
      <c r="D18" s="105">
        <v>39</v>
      </c>
      <c r="E18" s="106"/>
      <c r="F18" s="104"/>
      <c r="G18" s="104"/>
      <c r="H18" s="107">
        <f t="shared" si="2"/>
        <v>50000</v>
      </c>
      <c r="I18" s="108">
        <f t="shared" si="3"/>
        <v>50000</v>
      </c>
      <c r="J18" s="119"/>
      <c r="K18" s="119"/>
      <c r="L18" s="119"/>
      <c r="M18" s="119"/>
    </row>
    <row r="19" spans="1:13" s="113" customFormat="1" ht="18" customHeight="1">
      <c r="A19" s="196" t="s">
        <v>24</v>
      </c>
      <c r="B19" s="307">
        <v>14.6</v>
      </c>
      <c r="C19" s="105">
        <v>87</v>
      </c>
      <c r="D19" s="105">
        <v>33</v>
      </c>
      <c r="E19" s="106"/>
      <c r="F19" s="104"/>
      <c r="G19" s="104"/>
      <c r="H19" s="107">
        <f t="shared" si="2"/>
        <v>50000</v>
      </c>
      <c r="I19" s="108">
        <f t="shared" si="3"/>
        <v>50000</v>
      </c>
      <c r="J19" s="119"/>
      <c r="K19" s="119"/>
      <c r="L19" s="119"/>
      <c r="M19" s="119"/>
    </row>
    <row r="20" spans="1:9" s="88" customFormat="1" ht="18" customHeight="1">
      <c r="A20" s="196"/>
      <c r="B20" s="210"/>
      <c r="C20" s="105"/>
      <c r="D20" s="105"/>
      <c r="E20" s="106"/>
      <c r="F20" s="12"/>
      <c r="G20" s="12"/>
      <c r="H20" s="107">
        <f t="shared" si="2"/>
        <v>0</v>
      </c>
      <c r="I20" s="108">
        <f t="shared" si="3"/>
        <v>0</v>
      </c>
    </row>
    <row r="21" spans="1:9" s="88" customFormat="1" ht="18" customHeight="1">
      <c r="A21" s="196"/>
      <c r="B21" s="210"/>
      <c r="C21" s="104"/>
      <c r="D21" s="124"/>
      <c r="E21" s="106"/>
      <c r="F21" s="12"/>
      <c r="G21" s="12"/>
      <c r="H21" s="107">
        <f t="shared" si="2"/>
        <v>0</v>
      </c>
      <c r="I21" s="108">
        <f t="shared" si="3"/>
        <v>0</v>
      </c>
    </row>
    <row r="22" spans="1:9" s="88" customFormat="1" ht="18" customHeight="1">
      <c r="A22" s="13"/>
      <c r="B22" s="14"/>
      <c r="C22" s="104"/>
      <c r="D22" s="105"/>
      <c r="E22" s="106"/>
      <c r="F22" s="12"/>
      <c r="G22" s="12"/>
      <c r="H22" s="107">
        <f t="shared" si="2"/>
        <v>0</v>
      </c>
      <c r="I22" s="108">
        <f t="shared" si="3"/>
        <v>0</v>
      </c>
    </row>
    <row r="23" spans="1:9" s="88" customFormat="1" ht="18" customHeight="1">
      <c r="A23" s="13"/>
      <c r="B23" s="14"/>
      <c r="C23" s="104"/>
      <c r="D23" s="124"/>
      <c r="E23" s="106"/>
      <c r="F23" s="12"/>
      <c r="G23" s="12"/>
      <c r="H23" s="107">
        <f t="shared" si="2"/>
        <v>0</v>
      </c>
      <c r="I23" s="108">
        <f t="shared" si="3"/>
        <v>0</v>
      </c>
    </row>
    <row r="24" spans="1:9" s="88" customFormat="1" ht="18" customHeight="1">
      <c r="A24" s="13"/>
      <c r="B24" s="14"/>
      <c r="C24" s="12"/>
      <c r="D24" s="124"/>
      <c r="E24" s="106"/>
      <c r="F24" s="12"/>
      <c r="G24" s="12"/>
      <c r="H24" s="107">
        <f t="shared" si="2"/>
        <v>0</v>
      </c>
      <c r="I24" s="108">
        <f t="shared" si="3"/>
        <v>0</v>
      </c>
    </row>
    <row r="25" spans="1:9" s="88" customFormat="1" ht="18" customHeight="1">
      <c r="A25" s="13"/>
      <c r="B25" s="14"/>
      <c r="C25" s="104"/>
      <c r="D25" s="105"/>
      <c r="E25" s="120"/>
      <c r="F25" s="12"/>
      <c r="G25" s="12"/>
      <c r="H25" s="107">
        <f t="shared" si="2"/>
        <v>0</v>
      </c>
      <c r="I25" s="108">
        <f t="shared" si="3"/>
        <v>0</v>
      </c>
    </row>
    <row r="26" spans="1:9" s="88" customFormat="1" ht="18" customHeight="1">
      <c r="A26" s="13"/>
      <c r="B26" s="14"/>
      <c r="C26" s="104"/>
      <c r="D26" s="105"/>
      <c r="E26" s="120"/>
      <c r="F26" s="104"/>
      <c r="G26" s="104"/>
      <c r="H26" s="107">
        <f t="shared" si="2"/>
        <v>0</v>
      </c>
      <c r="I26" s="108">
        <f t="shared" si="3"/>
        <v>0</v>
      </c>
    </row>
    <row r="27" spans="1:9" s="88" customFormat="1" ht="18" customHeight="1">
      <c r="A27" s="13"/>
      <c r="B27" s="14"/>
      <c r="C27" s="104"/>
      <c r="D27" s="124"/>
      <c r="E27" s="106"/>
      <c r="F27" s="104"/>
      <c r="G27" s="104"/>
      <c r="H27" s="107">
        <f t="shared" si="2"/>
        <v>0</v>
      </c>
      <c r="I27" s="108">
        <f t="shared" si="3"/>
        <v>0</v>
      </c>
    </row>
    <row r="28" spans="1:9" ht="24" customHeight="1">
      <c r="A28" s="1"/>
      <c r="B28" s="3"/>
      <c r="C28" s="138"/>
      <c r="D28" s="139">
        <f>SUM(D4:D27)</f>
        <v>533</v>
      </c>
      <c r="E28" s="138"/>
      <c r="F28" s="3"/>
      <c r="G28" s="140">
        <f>SUM(G4:G27)</f>
        <v>39</v>
      </c>
      <c r="H28" s="140">
        <f>SUM(H4:H27)</f>
        <v>7560000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194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257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42</v>
      </c>
      <c r="B4" s="307">
        <v>18.3</v>
      </c>
      <c r="C4" s="104">
        <v>39</v>
      </c>
      <c r="D4" s="105">
        <v>31</v>
      </c>
      <c r="E4" s="124"/>
      <c r="F4" s="104">
        <v>1</v>
      </c>
      <c r="G4" s="104">
        <v>10</v>
      </c>
      <c r="H4" s="107">
        <f>N4+I4</f>
        <v>1550000</v>
      </c>
      <c r="I4" s="108">
        <f>IF(E4&gt;0,$N$13,0)+IF(C4&gt;0,50000,0)+IF(C4&lt;0,50000,0)</f>
        <v>50000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333</v>
      </c>
      <c r="B5" s="307">
        <v>11.8</v>
      </c>
      <c r="C5" s="104">
        <v>37</v>
      </c>
      <c r="D5" s="105">
        <v>27</v>
      </c>
      <c r="E5" s="106"/>
      <c r="F5" s="104">
        <v>2</v>
      </c>
      <c r="G5" s="104">
        <v>8</v>
      </c>
      <c r="H5" s="107">
        <f>N5+I5</f>
        <v>1250000</v>
      </c>
      <c r="I5" s="108">
        <f aca="true" t="shared" si="0" ref="I5:I27">IF(E5&gt;0,$N$13,0)+IF(C5&gt;0,50000,0)+IF(C5&lt;0,50000,0)</f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22</v>
      </c>
      <c r="B6" s="307">
        <v>15.5</v>
      </c>
      <c r="C6" s="104">
        <v>37</v>
      </c>
      <c r="D6" s="105">
        <v>34</v>
      </c>
      <c r="E6" s="106"/>
      <c r="F6" s="12">
        <v>3</v>
      </c>
      <c r="G6" s="12">
        <v>6</v>
      </c>
      <c r="H6" s="107">
        <f aca="true" t="shared" si="1" ref="H6:H11">N6+I6</f>
        <v>950000</v>
      </c>
      <c r="I6" s="108">
        <f t="shared" si="0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40</v>
      </c>
      <c r="B7" s="307">
        <v>25.5</v>
      </c>
      <c r="C7" s="104">
        <v>35</v>
      </c>
      <c r="D7" s="105">
        <v>33</v>
      </c>
      <c r="E7" s="106"/>
      <c r="F7" s="104">
        <v>4</v>
      </c>
      <c r="G7" s="104">
        <v>5</v>
      </c>
      <c r="H7" s="107">
        <f t="shared" si="1"/>
        <v>770000</v>
      </c>
      <c r="I7" s="108">
        <f t="shared" si="0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28</v>
      </c>
      <c r="B8" s="307">
        <v>11.6</v>
      </c>
      <c r="C8" s="104">
        <v>34</v>
      </c>
      <c r="D8" s="105">
        <v>37</v>
      </c>
      <c r="E8" s="106"/>
      <c r="F8" s="104">
        <v>5</v>
      </c>
      <c r="G8" s="104">
        <v>4</v>
      </c>
      <c r="H8" s="107">
        <f t="shared" si="1"/>
        <v>650000</v>
      </c>
      <c r="I8" s="108">
        <f t="shared" si="0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30</v>
      </c>
      <c r="B9" s="307">
        <v>12</v>
      </c>
      <c r="C9" s="12">
        <v>34</v>
      </c>
      <c r="D9" s="124">
        <v>32</v>
      </c>
      <c r="E9" s="12"/>
      <c r="F9" s="121">
        <v>6</v>
      </c>
      <c r="G9" s="121">
        <v>3</v>
      </c>
      <c r="H9" s="107">
        <f t="shared" si="1"/>
        <v>530000</v>
      </c>
      <c r="I9" s="108">
        <f t="shared" si="0"/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52</v>
      </c>
      <c r="B10" s="307">
        <v>13.7</v>
      </c>
      <c r="C10" s="104">
        <v>33</v>
      </c>
      <c r="D10" s="105">
        <v>32</v>
      </c>
      <c r="E10" s="106">
        <v>6.29</v>
      </c>
      <c r="F10" s="104">
        <v>7</v>
      </c>
      <c r="G10" s="104">
        <v>2</v>
      </c>
      <c r="H10" s="107">
        <f t="shared" si="1"/>
        <v>770000</v>
      </c>
      <c r="I10" s="108">
        <f t="shared" si="0"/>
        <v>410000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38</v>
      </c>
      <c r="B11" s="307">
        <v>14.4</v>
      </c>
      <c r="C11" s="104">
        <v>33</v>
      </c>
      <c r="D11" s="124">
        <v>30</v>
      </c>
      <c r="E11" s="12"/>
      <c r="F11" s="104">
        <v>8</v>
      </c>
      <c r="G11" s="104">
        <v>1</v>
      </c>
      <c r="H11" s="107">
        <f t="shared" si="1"/>
        <v>290000</v>
      </c>
      <c r="I11" s="108">
        <f t="shared" si="0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44</v>
      </c>
      <c r="B12" s="307">
        <v>13.2</v>
      </c>
      <c r="C12" s="104">
        <v>32</v>
      </c>
      <c r="D12" s="124">
        <v>26</v>
      </c>
      <c r="E12" s="12"/>
      <c r="F12" s="104"/>
      <c r="G12" s="104"/>
      <c r="H12" s="107">
        <f>I12</f>
        <v>50000</v>
      </c>
      <c r="I12" s="108">
        <f t="shared" si="0"/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24</v>
      </c>
      <c r="B13" s="307">
        <v>14.7</v>
      </c>
      <c r="C13" s="104">
        <v>31</v>
      </c>
      <c r="D13" s="105">
        <v>33</v>
      </c>
      <c r="E13" s="106"/>
      <c r="F13" s="104"/>
      <c r="G13" s="104"/>
      <c r="H13" s="107">
        <f aca="true" t="shared" si="2" ref="H13:H27">I13</f>
        <v>50000</v>
      </c>
      <c r="I13" s="108">
        <f t="shared" si="0"/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12</v>
      </c>
      <c r="B14" s="307">
        <v>18.7</v>
      </c>
      <c r="C14" s="104">
        <v>31</v>
      </c>
      <c r="D14" s="105">
        <v>38</v>
      </c>
      <c r="E14" s="106"/>
      <c r="F14" s="104"/>
      <c r="G14" s="104"/>
      <c r="H14" s="107">
        <f t="shared" si="2"/>
        <v>50000</v>
      </c>
      <c r="I14" s="108">
        <f t="shared" si="0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32</v>
      </c>
      <c r="B15" s="307">
        <v>13.5</v>
      </c>
      <c r="C15" s="104">
        <v>28</v>
      </c>
      <c r="D15" s="124">
        <v>39</v>
      </c>
      <c r="E15" s="12"/>
      <c r="F15" s="104"/>
      <c r="G15" s="104"/>
      <c r="H15" s="107">
        <f t="shared" si="2"/>
        <v>50000</v>
      </c>
      <c r="I15" s="108">
        <f t="shared" si="0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18</v>
      </c>
      <c r="B16" s="307">
        <v>14.5</v>
      </c>
      <c r="C16" s="104">
        <v>23</v>
      </c>
      <c r="D16" s="105">
        <v>32</v>
      </c>
      <c r="E16" s="106"/>
      <c r="F16" s="12"/>
      <c r="G16" s="12"/>
      <c r="H16" s="107">
        <f t="shared" si="2"/>
        <v>50000</v>
      </c>
      <c r="I16" s="108">
        <f t="shared" si="0"/>
        <v>50000</v>
      </c>
    </row>
    <row r="17" spans="1:18" s="113" customFormat="1" ht="18" customHeight="1">
      <c r="A17" s="196"/>
      <c r="B17" s="307"/>
      <c r="C17" s="105"/>
      <c r="D17" s="105"/>
      <c r="E17" s="106"/>
      <c r="F17" s="12"/>
      <c r="G17" s="12"/>
      <c r="H17" s="107">
        <f t="shared" si="2"/>
        <v>0</v>
      </c>
      <c r="I17" s="108">
        <f t="shared" si="0"/>
        <v>0</v>
      </c>
      <c r="O17" s="118"/>
      <c r="P17" s="118"/>
      <c r="Q17" s="118"/>
      <c r="R17" s="119"/>
    </row>
    <row r="18" spans="1:13" s="113" customFormat="1" ht="18" customHeight="1">
      <c r="A18" s="196"/>
      <c r="B18" s="307"/>
      <c r="C18" s="124"/>
      <c r="D18" s="105"/>
      <c r="E18" s="106"/>
      <c r="F18" s="104"/>
      <c r="G18" s="104"/>
      <c r="H18" s="107">
        <f t="shared" si="2"/>
        <v>0</v>
      </c>
      <c r="I18" s="108">
        <f t="shared" si="0"/>
        <v>0</v>
      </c>
      <c r="J18" s="119"/>
      <c r="K18" s="119"/>
      <c r="L18" s="119"/>
      <c r="M18" s="119"/>
    </row>
    <row r="19" spans="1:13" s="113" customFormat="1" ht="18" customHeight="1">
      <c r="A19" s="196"/>
      <c r="B19" s="307"/>
      <c r="C19" s="104"/>
      <c r="D19" s="105"/>
      <c r="E19" s="106"/>
      <c r="F19" s="104"/>
      <c r="G19" s="104"/>
      <c r="H19" s="107">
        <f t="shared" si="2"/>
        <v>0</v>
      </c>
      <c r="I19" s="108">
        <f t="shared" si="0"/>
        <v>0</v>
      </c>
      <c r="J19" s="119"/>
      <c r="K19" s="119"/>
      <c r="L19" s="119"/>
      <c r="M19" s="119"/>
    </row>
    <row r="20" spans="1:9" s="88" customFormat="1" ht="18" customHeight="1">
      <c r="A20" s="196"/>
      <c r="B20" s="307"/>
      <c r="C20" s="105"/>
      <c r="D20" s="105"/>
      <c r="E20" s="106"/>
      <c r="F20" s="12"/>
      <c r="G20" s="12"/>
      <c r="H20" s="107">
        <f t="shared" si="2"/>
        <v>0</v>
      </c>
      <c r="I20" s="108">
        <f t="shared" si="0"/>
        <v>0</v>
      </c>
    </row>
    <row r="21" spans="1:9" s="88" customFormat="1" ht="18" customHeight="1">
      <c r="A21" s="196"/>
      <c r="B21" s="307"/>
      <c r="C21" s="12"/>
      <c r="D21" s="105"/>
      <c r="E21" s="106"/>
      <c r="F21" s="12"/>
      <c r="G21" s="12"/>
      <c r="H21" s="107">
        <f t="shared" si="2"/>
        <v>0</v>
      </c>
      <c r="I21" s="108">
        <f t="shared" si="0"/>
        <v>0</v>
      </c>
    </row>
    <row r="22" spans="1:9" s="88" customFormat="1" ht="18" customHeight="1">
      <c r="A22" s="196"/>
      <c r="B22" s="307"/>
      <c r="C22" s="105"/>
      <c r="D22" s="105"/>
      <c r="E22" s="106"/>
      <c r="F22" s="12"/>
      <c r="G22" s="12"/>
      <c r="H22" s="107">
        <f t="shared" si="2"/>
        <v>0</v>
      </c>
      <c r="I22" s="108">
        <f t="shared" si="0"/>
        <v>0</v>
      </c>
    </row>
    <row r="23" spans="1:9" s="88" customFormat="1" ht="18" customHeight="1">
      <c r="A23" s="196"/>
      <c r="B23" s="307"/>
      <c r="C23" s="104"/>
      <c r="D23" s="124"/>
      <c r="E23" s="12"/>
      <c r="F23" s="12"/>
      <c r="G23" s="12"/>
      <c r="H23" s="107">
        <f t="shared" si="2"/>
        <v>0</v>
      </c>
      <c r="I23" s="108">
        <f t="shared" si="0"/>
        <v>0</v>
      </c>
    </row>
    <row r="24" spans="1:9" s="88" customFormat="1" ht="18" customHeight="1">
      <c r="A24" s="196"/>
      <c r="B24" s="307"/>
      <c r="C24" s="105"/>
      <c r="D24" s="105"/>
      <c r="E24" s="106"/>
      <c r="F24" s="12"/>
      <c r="G24" s="12"/>
      <c r="H24" s="107">
        <f t="shared" si="2"/>
        <v>0</v>
      </c>
      <c r="I24" s="108">
        <f t="shared" si="0"/>
        <v>0</v>
      </c>
    </row>
    <row r="25" spans="1:9" s="88" customFormat="1" ht="18" customHeight="1">
      <c r="A25" s="196"/>
      <c r="B25" s="307"/>
      <c r="C25" s="105"/>
      <c r="D25" s="124"/>
      <c r="E25" s="12"/>
      <c r="F25" s="12"/>
      <c r="G25" s="12"/>
      <c r="H25" s="107">
        <f t="shared" si="2"/>
        <v>0</v>
      </c>
      <c r="I25" s="108">
        <f t="shared" si="0"/>
        <v>0</v>
      </c>
    </row>
    <row r="26" spans="1:9" s="88" customFormat="1" ht="18" customHeight="1">
      <c r="A26" s="196"/>
      <c r="B26" s="307"/>
      <c r="C26" s="104"/>
      <c r="D26" s="124"/>
      <c r="E26" s="12"/>
      <c r="F26" s="104"/>
      <c r="G26" s="104"/>
      <c r="H26" s="107">
        <f t="shared" si="2"/>
        <v>0</v>
      </c>
      <c r="I26" s="108">
        <f t="shared" si="0"/>
        <v>0</v>
      </c>
    </row>
    <row r="27" spans="1:9" s="88" customFormat="1" ht="18" customHeight="1">
      <c r="A27" s="196"/>
      <c r="B27" s="307"/>
      <c r="C27" s="105"/>
      <c r="D27" s="124"/>
      <c r="E27" s="12"/>
      <c r="F27" s="104"/>
      <c r="G27" s="104"/>
      <c r="H27" s="107">
        <f t="shared" si="2"/>
        <v>0</v>
      </c>
      <c r="I27" s="108">
        <f t="shared" si="0"/>
        <v>0</v>
      </c>
    </row>
    <row r="28" spans="1:9" ht="24" customHeight="1">
      <c r="A28" s="1"/>
      <c r="B28" s="3"/>
      <c r="C28" s="138"/>
      <c r="D28" s="139">
        <f>SUM(D4:D27)</f>
        <v>424</v>
      </c>
      <c r="E28" s="138"/>
      <c r="F28" s="3"/>
      <c r="G28" s="140">
        <f>SUM(G4:G27)</f>
        <v>39</v>
      </c>
      <c r="H28" s="140">
        <f>SUM(H4:H27)</f>
        <v>7010000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125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181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16</v>
      </c>
      <c r="B4" s="307">
        <v>18.9</v>
      </c>
      <c r="C4" s="104">
        <v>37</v>
      </c>
      <c r="D4" s="105">
        <v>35</v>
      </c>
      <c r="E4" s="124"/>
      <c r="F4" s="104">
        <v>1</v>
      </c>
      <c r="G4" s="104">
        <v>10</v>
      </c>
      <c r="H4" s="107">
        <f>N4+I4</f>
        <v>1550000</v>
      </c>
      <c r="I4" s="108">
        <f>IF(E4&gt;0,$N$13,0)+IF(C4&gt;0,50000,0)+IF(C4&lt;0,50000,0)</f>
        <v>50000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30</v>
      </c>
      <c r="B5" s="307">
        <v>12</v>
      </c>
      <c r="C5" s="104">
        <v>34</v>
      </c>
      <c r="D5" s="105">
        <v>31</v>
      </c>
      <c r="E5" s="106"/>
      <c r="F5" s="104">
        <v>2</v>
      </c>
      <c r="G5" s="104">
        <v>8</v>
      </c>
      <c r="H5" s="107">
        <f aca="true" t="shared" si="0" ref="H5:H11">N5+I5</f>
        <v>1250000</v>
      </c>
      <c r="I5" s="108">
        <f aca="true" t="shared" si="1" ref="I5:I27">IF(E5&gt;0,$N$13,0)+IF(C5&gt;0,50000,0)+IF(C5&lt;0,50000,0)</f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42</v>
      </c>
      <c r="B6" s="307">
        <v>18.3</v>
      </c>
      <c r="C6" s="105">
        <v>34</v>
      </c>
      <c r="D6" s="124">
        <v>31</v>
      </c>
      <c r="E6" s="106"/>
      <c r="F6" s="12">
        <v>3</v>
      </c>
      <c r="G6" s="12">
        <v>6</v>
      </c>
      <c r="H6" s="107">
        <f t="shared" si="0"/>
        <v>950000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48</v>
      </c>
      <c r="B7" s="307">
        <v>7.3</v>
      </c>
      <c r="C7" s="104">
        <v>33</v>
      </c>
      <c r="D7" s="105">
        <v>31</v>
      </c>
      <c r="E7" s="106"/>
      <c r="F7" s="104">
        <v>4</v>
      </c>
      <c r="G7" s="104">
        <v>5</v>
      </c>
      <c r="H7" s="107">
        <f t="shared" si="0"/>
        <v>770000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10</v>
      </c>
      <c r="B8" s="307">
        <v>15.1</v>
      </c>
      <c r="C8" s="104">
        <v>33</v>
      </c>
      <c r="D8" s="105">
        <v>31</v>
      </c>
      <c r="E8" s="106"/>
      <c r="F8" s="104">
        <v>5</v>
      </c>
      <c r="G8" s="104">
        <v>4</v>
      </c>
      <c r="H8" s="107">
        <f t="shared" si="0"/>
        <v>650000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8</v>
      </c>
      <c r="B9" s="307">
        <v>23.1</v>
      </c>
      <c r="C9" s="104">
        <v>33</v>
      </c>
      <c r="D9" s="105">
        <v>35</v>
      </c>
      <c r="E9" s="106"/>
      <c r="F9" s="121">
        <v>6</v>
      </c>
      <c r="G9" s="121">
        <v>3</v>
      </c>
      <c r="H9" s="107">
        <f t="shared" si="0"/>
        <v>530000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28</v>
      </c>
      <c r="B10" s="307">
        <v>11.5</v>
      </c>
      <c r="C10" s="105">
        <v>32</v>
      </c>
      <c r="D10" s="105">
        <v>35</v>
      </c>
      <c r="E10" s="12">
        <v>3.45</v>
      </c>
      <c r="F10" s="104">
        <v>7</v>
      </c>
      <c r="G10" s="104">
        <v>2</v>
      </c>
      <c r="H10" s="107">
        <f t="shared" si="0"/>
        <v>770000</v>
      </c>
      <c r="I10" s="108">
        <f t="shared" si="1"/>
        <v>410000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44</v>
      </c>
      <c r="B11" s="307">
        <v>13.1</v>
      </c>
      <c r="C11" s="104">
        <v>32</v>
      </c>
      <c r="D11" s="105">
        <v>33</v>
      </c>
      <c r="E11" s="12"/>
      <c r="F11" s="104">
        <v>8</v>
      </c>
      <c r="G11" s="104">
        <v>1</v>
      </c>
      <c r="H11" s="107">
        <f t="shared" si="0"/>
        <v>290000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46</v>
      </c>
      <c r="B12" s="307">
        <v>18.2</v>
      </c>
      <c r="C12" s="12">
        <v>30</v>
      </c>
      <c r="D12" s="124">
        <v>37</v>
      </c>
      <c r="E12" s="106"/>
      <c r="F12" s="104"/>
      <c r="G12" s="104"/>
      <c r="H12" s="107">
        <f>I12</f>
        <v>50000</v>
      </c>
      <c r="I12" s="108">
        <f t="shared" si="1"/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32</v>
      </c>
      <c r="B13" s="307">
        <v>13.4</v>
      </c>
      <c r="C13" s="105">
        <v>29</v>
      </c>
      <c r="D13" s="105">
        <v>38</v>
      </c>
      <c r="E13" s="106"/>
      <c r="F13" s="104"/>
      <c r="G13" s="104"/>
      <c r="H13" s="107">
        <f aca="true" t="shared" si="2" ref="H13:H27">I13</f>
        <v>50000</v>
      </c>
      <c r="I13" s="108">
        <f t="shared" si="1"/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38</v>
      </c>
      <c r="B14" s="307">
        <v>14.3</v>
      </c>
      <c r="C14" s="104">
        <v>29</v>
      </c>
      <c r="D14" s="105">
        <v>35</v>
      </c>
      <c r="E14" s="106"/>
      <c r="F14" s="104"/>
      <c r="G14" s="104"/>
      <c r="H14" s="107">
        <f t="shared" si="2"/>
        <v>50000</v>
      </c>
      <c r="I14" s="108">
        <f t="shared" si="1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14</v>
      </c>
      <c r="B15" s="307">
        <v>10.2</v>
      </c>
      <c r="C15" s="104">
        <v>26</v>
      </c>
      <c r="D15" s="105">
        <v>42</v>
      </c>
      <c r="E15" s="106"/>
      <c r="F15" s="104"/>
      <c r="G15" s="104"/>
      <c r="H15" s="107">
        <f t="shared" si="2"/>
        <v>50000</v>
      </c>
      <c r="I15" s="108">
        <f t="shared" si="1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34</v>
      </c>
      <c r="B16" s="307">
        <v>14.1</v>
      </c>
      <c r="C16" s="104">
        <v>25</v>
      </c>
      <c r="D16" s="124">
        <v>39</v>
      </c>
      <c r="E16" s="106"/>
      <c r="F16" s="12"/>
      <c r="G16" s="12"/>
      <c r="H16" s="107">
        <f t="shared" si="2"/>
        <v>50000</v>
      </c>
      <c r="I16" s="108">
        <f t="shared" si="1"/>
        <v>50000</v>
      </c>
    </row>
    <row r="17" spans="1:18" s="113" customFormat="1" ht="18" customHeight="1">
      <c r="A17" s="196"/>
      <c r="B17" s="307"/>
      <c r="C17" s="104"/>
      <c r="D17" s="124"/>
      <c r="E17" s="12"/>
      <c r="F17" s="12"/>
      <c r="G17" s="12"/>
      <c r="H17" s="107">
        <f t="shared" si="2"/>
        <v>0</v>
      </c>
      <c r="I17" s="108">
        <f t="shared" si="1"/>
        <v>0</v>
      </c>
      <c r="O17" s="118"/>
      <c r="P17" s="118"/>
      <c r="Q17" s="118"/>
      <c r="R17" s="119"/>
    </row>
    <row r="18" spans="1:13" s="113" customFormat="1" ht="18" customHeight="1">
      <c r="A18" s="196"/>
      <c r="B18" s="307"/>
      <c r="C18" s="104"/>
      <c r="D18" s="105"/>
      <c r="E18" s="12"/>
      <c r="F18" s="104"/>
      <c r="G18" s="104"/>
      <c r="H18" s="107">
        <f t="shared" si="2"/>
        <v>0</v>
      </c>
      <c r="I18" s="108">
        <f t="shared" si="1"/>
        <v>0</v>
      </c>
      <c r="J18" s="119"/>
      <c r="K18" s="119"/>
      <c r="L18" s="119"/>
      <c r="M18" s="119"/>
    </row>
    <row r="19" spans="1:13" s="113" customFormat="1" ht="18" customHeight="1">
      <c r="A19" s="196"/>
      <c r="B19" s="307"/>
      <c r="C19" s="124"/>
      <c r="D19" s="105"/>
      <c r="E19" s="106"/>
      <c r="F19" s="104"/>
      <c r="G19" s="104"/>
      <c r="H19" s="107">
        <f t="shared" si="2"/>
        <v>0</v>
      </c>
      <c r="I19" s="108">
        <f t="shared" si="1"/>
        <v>0</v>
      </c>
      <c r="J19" s="119"/>
      <c r="K19" s="119"/>
      <c r="L19" s="119"/>
      <c r="M19" s="119"/>
    </row>
    <row r="20" spans="1:9" s="88" customFormat="1" ht="18" customHeight="1">
      <c r="A20" s="196"/>
      <c r="B20" s="307"/>
      <c r="C20" s="105"/>
      <c r="D20" s="105"/>
      <c r="E20" s="106"/>
      <c r="F20" s="12"/>
      <c r="G20" s="12"/>
      <c r="H20" s="107">
        <f t="shared" si="2"/>
        <v>0</v>
      </c>
      <c r="I20" s="108">
        <f t="shared" si="1"/>
        <v>0</v>
      </c>
    </row>
    <row r="21" spans="1:9" s="88" customFormat="1" ht="18" customHeight="1">
      <c r="A21" s="196"/>
      <c r="B21" s="307"/>
      <c r="C21" s="105"/>
      <c r="D21" s="124"/>
      <c r="E21" s="12"/>
      <c r="F21" s="12"/>
      <c r="G21" s="12"/>
      <c r="H21" s="107">
        <f t="shared" si="2"/>
        <v>0</v>
      </c>
      <c r="I21" s="108">
        <f t="shared" si="1"/>
        <v>0</v>
      </c>
    </row>
    <row r="22" spans="1:9" s="88" customFormat="1" ht="18" customHeight="1">
      <c r="A22" s="196"/>
      <c r="B22" s="307"/>
      <c r="C22" s="104"/>
      <c r="D22" s="124"/>
      <c r="E22" s="106"/>
      <c r="F22" s="12"/>
      <c r="G22" s="12"/>
      <c r="H22" s="107">
        <f t="shared" si="2"/>
        <v>0</v>
      </c>
      <c r="I22" s="108">
        <f t="shared" si="1"/>
        <v>0</v>
      </c>
    </row>
    <row r="23" spans="1:9" s="88" customFormat="1" ht="18" customHeight="1">
      <c r="A23" s="196"/>
      <c r="B23" s="307"/>
      <c r="C23" s="12"/>
      <c r="D23" s="105"/>
      <c r="E23" s="12"/>
      <c r="F23" s="12"/>
      <c r="G23" s="12"/>
      <c r="H23" s="107">
        <f t="shared" si="2"/>
        <v>0</v>
      </c>
      <c r="I23" s="108">
        <f t="shared" si="1"/>
        <v>0</v>
      </c>
    </row>
    <row r="24" spans="1:9" s="88" customFormat="1" ht="18" customHeight="1">
      <c r="A24" s="196"/>
      <c r="B24" s="307"/>
      <c r="C24" s="105"/>
      <c r="D24" s="105"/>
      <c r="E24" s="106"/>
      <c r="F24" s="12"/>
      <c r="G24" s="12"/>
      <c r="H24" s="107">
        <f t="shared" si="2"/>
        <v>0</v>
      </c>
      <c r="I24" s="108">
        <f t="shared" si="1"/>
        <v>0</v>
      </c>
    </row>
    <row r="25" spans="1:9" s="88" customFormat="1" ht="18" customHeight="1">
      <c r="A25" s="196"/>
      <c r="B25" s="307"/>
      <c r="C25" s="104"/>
      <c r="D25" s="124"/>
      <c r="E25" s="12"/>
      <c r="F25" s="12"/>
      <c r="G25" s="12"/>
      <c r="H25" s="107">
        <f t="shared" si="2"/>
        <v>0</v>
      </c>
      <c r="I25" s="108">
        <f t="shared" si="1"/>
        <v>0</v>
      </c>
    </row>
    <row r="26" spans="1:9" s="88" customFormat="1" ht="18" customHeight="1">
      <c r="A26" s="196"/>
      <c r="B26" s="307"/>
      <c r="C26" s="104"/>
      <c r="D26" s="124"/>
      <c r="E26" s="12"/>
      <c r="F26" s="104"/>
      <c r="G26" s="104"/>
      <c r="H26" s="107">
        <f t="shared" si="2"/>
        <v>0</v>
      </c>
      <c r="I26" s="108">
        <f t="shared" si="1"/>
        <v>0</v>
      </c>
    </row>
    <row r="27" spans="1:9" s="88" customFormat="1" ht="18" customHeight="1">
      <c r="A27" s="196"/>
      <c r="B27" s="307"/>
      <c r="C27" s="104"/>
      <c r="D27" s="105"/>
      <c r="E27" s="106"/>
      <c r="F27" s="104"/>
      <c r="G27" s="104"/>
      <c r="H27" s="107">
        <f t="shared" si="2"/>
        <v>0</v>
      </c>
      <c r="I27" s="108">
        <f t="shared" si="1"/>
        <v>0</v>
      </c>
    </row>
    <row r="28" spans="1:9" ht="24" customHeight="1">
      <c r="A28" s="1"/>
      <c r="B28" s="3"/>
      <c r="C28" s="138"/>
      <c r="D28" s="3">
        <f>SUM(D4:D27)</f>
        <v>453</v>
      </c>
      <c r="E28" s="138"/>
      <c r="F28" s="3"/>
      <c r="G28" s="140">
        <f>SUM(G4:G27)</f>
        <v>39</v>
      </c>
      <c r="H28" s="140">
        <f>SUM(H4:H27)</f>
        <v>7010000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126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252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32</v>
      </c>
      <c r="B4" s="307">
        <v>13.4</v>
      </c>
      <c r="C4" s="105">
        <v>34</v>
      </c>
      <c r="D4" s="105">
        <v>35</v>
      </c>
      <c r="E4" s="12"/>
      <c r="F4" s="104">
        <v>1</v>
      </c>
      <c r="G4" s="104">
        <v>10</v>
      </c>
      <c r="H4" s="107">
        <f>N4+I4</f>
        <v>1550000</v>
      </c>
      <c r="I4" s="108">
        <f>IF(E4&gt;0,$N$13,0)+IF(C4&gt;0,50000,0)+IF(C4&lt;0,50000,0)</f>
        <v>50000</v>
      </c>
      <c r="J4" s="109" t="s">
        <v>88</v>
      </c>
      <c r="K4" s="110"/>
      <c r="L4" s="111"/>
      <c r="M4" s="112">
        <v>10</v>
      </c>
      <c r="N4" s="107">
        <f>N12*25%</f>
        <v>1500000</v>
      </c>
    </row>
    <row r="5" spans="1:14" s="113" customFormat="1" ht="18" customHeight="1">
      <c r="A5" s="196" t="s">
        <v>30</v>
      </c>
      <c r="B5" s="307">
        <v>12</v>
      </c>
      <c r="C5" s="104">
        <v>33</v>
      </c>
      <c r="D5" s="105">
        <v>33</v>
      </c>
      <c r="E5" s="106"/>
      <c r="F5" s="104">
        <v>2</v>
      </c>
      <c r="G5" s="104">
        <v>8</v>
      </c>
      <c r="H5" s="107">
        <f aca="true" t="shared" si="0" ref="H5:H11">N5+I5</f>
        <v>1250000</v>
      </c>
      <c r="I5" s="108">
        <f aca="true" t="shared" si="1" ref="I5:I27">IF(E5&gt;0,$N$13,0)+IF(C5&gt;0,50000,0)+IF(C5&lt;0,50000,0)</f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</row>
    <row r="6" spans="1:14" s="113" customFormat="1" ht="18" customHeight="1">
      <c r="A6" s="196" t="s">
        <v>10</v>
      </c>
      <c r="B6" s="307">
        <v>15.1</v>
      </c>
      <c r="C6" s="104">
        <v>33</v>
      </c>
      <c r="D6" s="124">
        <v>32</v>
      </c>
      <c r="E6" s="12"/>
      <c r="F6" s="12">
        <v>3</v>
      </c>
      <c r="G6" s="12">
        <v>6</v>
      </c>
      <c r="H6" s="107">
        <f t="shared" si="0"/>
        <v>950000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</row>
    <row r="7" spans="1:18" s="113" customFormat="1" ht="18" customHeight="1">
      <c r="A7" s="196" t="s">
        <v>52</v>
      </c>
      <c r="B7" s="307">
        <v>13.6</v>
      </c>
      <c r="C7" s="104">
        <v>32</v>
      </c>
      <c r="D7" s="105">
        <v>37</v>
      </c>
      <c r="E7" s="106"/>
      <c r="F7" s="104">
        <v>4</v>
      </c>
      <c r="G7" s="104">
        <v>5</v>
      </c>
      <c r="H7" s="107">
        <f t="shared" si="0"/>
        <v>770000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118"/>
      <c r="Q7" s="118"/>
      <c r="R7" s="119"/>
    </row>
    <row r="8" spans="1:14" s="113" customFormat="1" ht="18" customHeight="1">
      <c r="A8" s="196" t="s">
        <v>18</v>
      </c>
      <c r="B8" s="307">
        <v>14.4</v>
      </c>
      <c r="C8" s="104">
        <v>32</v>
      </c>
      <c r="D8" s="124">
        <v>32</v>
      </c>
      <c r="E8" s="106">
        <v>1.53</v>
      </c>
      <c r="F8" s="104">
        <v>5</v>
      </c>
      <c r="G8" s="104">
        <v>4</v>
      </c>
      <c r="H8" s="107">
        <f t="shared" si="0"/>
        <v>1010000</v>
      </c>
      <c r="I8" s="108">
        <f t="shared" si="1"/>
        <v>410000</v>
      </c>
      <c r="J8" s="114" t="s">
        <v>92</v>
      </c>
      <c r="K8" s="115"/>
      <c r="L8" s="116"/>
      <c r="M8" s="117">
        <v>4</v>
      </c>
      <c r="N8" s="107">
        <f>N12*10%</f>
        <v>600000</v>
      </c>
    </row>
    <row r="9" spans="1:14" s="113" customFormat="1" ht="18" customHeight="1">
      <c r="A9" s="196" t="s">
        <v>34</v>
      </c>
      <c r="B9" s="307">
        <v>14</v>
      </c>
      <c r="C9" s="104">
        <v>31</v>
      </c>
      <c r="D9" s="105">
        <v>34</v>
      </c>
      <c r="E9" s="106"/>
      <c r="F9" s="121">
        <v>6</v>
      </c>
      <c r="G9" s="121">
        <v>3</v>
      </c>
      <c r="H9" s="107">
        <f t="shared" si="0"/>
        <v>530000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</row>
    <row r="10" spans="1:14" s="113" customFormat="1" ht="18" customHeight="1">
      <c r="A10" s="196" t="s">
        <v>36</v>
      </c>
      <c r="B10" s="307">
        <v>22.2</v>
      </c>
      <c r="C10" s="105">
        <v>31</v>
      </c>
      <c r="D10" s="105">
        <v>32</v>
      </c>
      <c r="E10" s="12"/>
      <c r="F10" s="104">
        <v>7</v>
      </c>
      <c r="G10" s="104">
        <v>2</v>
      </c>
      <c r="H10" s="107">
        <f t="shared" si="0"/>
        <v>410000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</row>
    <row r="11" spans="1:14" s="113" customFormat="1" ht="18" customHeight="1">
      <c r="A11" s="196" t="s">
        <v>40</v>
      </c>
      <c r="B11" s="307">
        <v>25.4</v>
      </c>
      <c r="C11" s="12">
        <v>30</v>
      </c>
      <c r="D11" s="105">
        <v>34</v>
      </c>
      <c r="E11" s="106"/>
      <c r="F11" s="104">
        <v>8</v>
      </c>
      <c r="G11" s="104">
        <v>1</v>
      </c>
      <c r="H11" s="107">
        <f t="shared" si="0"/>
        <v>290000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</row>
    <row r="12" spans="1:14" s="113" customFormat="1" ht="18" customHeight="1">
      <c r="A12" s="196" t="s">
        <v>42</v>
      </c>
      <c r="B12" s="307">
        <v>18.2</v>
      </c>
      <c r="C12" s="104">
        <v>29</v>
      </c>
      <c r="D12" s="105">
        <v>37</v>
      </c>
      <c r="E12" s="12"/>
      <c r="F12" s="104"/>
      <c r="G12" s="104"/>
      <c r="H12" s="107">
        <f>I12</f>
        <v>50000</v>
      </c>
      <c r="I12" s="108">
        <f t="shared" si="1"/>
        <v>50000</v>
      </c>
      <c r="J12" s="122" t="s">
        <v>96</v>
      </c>
      <c r="K12" s="115"/>
      <c r="L12" s="116"/>
      <c r="M12" s="117"/>
      <c r="N12" s="123">
        <v>6000000</v>
      </c>
    </row>
    <row r="13" spans="1:14" s="113" customFormat="1" ht="18" customHeight="1">
      <c r="A13" s="196" t="s">
        <v>16</v>
      </c>
      <c r="B13" s="307">
        <v>18.8</v>
      </c>
      <c r="C13" s="105">
        <v>29</v>
      </c>
      <c r="D13" s="105">
        <v>37</v>
      </c>
      <c r="E13" s="12"/>
      <c r="F13" s="104"/>
      <c r="G13" s="104"/>
      <c r="H13" s="107">
        <f aca="true" t="shared" si="2" ref="H13:H27">I13</f>
        <v>50000</v>
      </c>
      <c r="I13" s="108">
        <f t="shared" si="1"/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</row>
    <row r="14" spans="1:14" s="113" customFormat="1" ht="18" customHeight="1">
      <c r="A14" s="196" t="s">
        <v>48</v>
      </c>
      <c r="B14" s="307">
        <v>7.2</v>
      </c>
      <c r="C14" s="104">
        <v>28</v>
      </c>
      <c r="D14" s="105">
        <v>36</v>
      </c>
      <c r="E14" s="106"/>
      <c r="F14" s="104"/>
      <c r="G14" s="104"/>
      <c r="H14" s="107">
        <f t="shared" si="2"/>
        <v>50000</v>
      </c>
      <c r="I14" s="108">
        <f t="shared" si="1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14</v>
      </c>
      <c r="B15" s="307">
        <v>10.2</v>
      </c>
      <c r="C15" s="104">
        <v>28</v>
      </c>
      <c r="D15" s="124">
        <v>36</v>
      </c>
      <c r="E15" s="12"/>
      <c r="F15" s="104"/>
      <c r="G15" s="104"/>
      <c r="H15" s="107">
        <f t="shared" si="2"/>
        <v>50000</v>
      </c>
      <c r="I15" s="108">
        <f t="shared" si="1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28</v>
      </c>
      <c r="B16" s="307">
        <v>11.4</v>
      </c>
      <c r="C16" s="104">
        <v>21</v>
      </c>
      <c r="D16" s="105">
        <v>43</v>
      </c>
      <c r="E16" s="12"/>
      <c r="F16" s="12"/>
      <c r="G16" s="12"/>
      <c r="H16" s="107">
        <f t="shared" si="2"/>
        <v>50000</v>
      </c>
      <c r="I16" s="108">
        <f t="shared" si="1"/>
        <v>50000</v>
      </c>
    </row>
    <row r="17" spans="1:18" s="113" customFormat="1" ht="18" customHeight="1">
      <c r="A17" s="196" t="s">
        <v>50</v>
      </c>
      <c r="B17" s="307">
        <v>23.2</v>
      </c>
      <c r="C17" s="105">
        <v>19</v>
      </c>
      <c r="D17" s="124">
        <v>45</v>
      </c>
      <c r="E17" s="106"/>
      <c r="F17" s="12"/>
      <c r="G17" s="12"/>
      <c r="H17" s="107">
        <f t="shared" si="2"/>
        <v>50000</v>
      </c>
      <c r="I17" s="108">
        <f t="shared" si="1"/>
        <v>50000</v>
      </c>
      <c r="O17" s="118"/>
      <c r="P17" s="118"/>
      <c r="Q17" s="118"/>
      <c r="R17" s="119"/>
    </row>
    <row r="18" spans="1:18" s="113" customFormat="1" ht="18" customHeight="1">
      <c r="A18" s="196"/>
      <c r="B18" s="307"/>
      <c r="C18" s="104"/>
      <c r="D18" s="105"/>
      <c r="E18" s="106"/>
      <c r="F18" s="104"/>
      <c r="G18" s="104"/>
      <c r="H18" s="107">
        <f t="shared" si="2"/>
        <v>0</v>
      </c>
      <c r="I18" s="108">
        <f t="shared" si="1"/>
        <v>0</v>
      </c>
      <c r="J18" s="8"/>
      <c r="K18" s="8"/>
      <c r="L18" s="8"/>
      <c r="M18" s="8"/>
      <c r="N18" s="8"/>
      <c r="O18" s="119"/>
      <c r="P18" s="119"/>
      <c r="Q18" s="119"/>
      <c r="R18" s="119"/>
    </row>
    <row r="19" spans="1:18" s="113" customFormat="1" ht="18" customHeight="1">
      <c r="A19" s="196"/>
      <c r="B19" s="307"/>
      <c r="C19" s="104"/>
      <c r="D19" s="105"/>
      <c r="E19" s="106"/>
      <c r="F19" s="104"/>
      <c r="G19" s="104"/>
      <c r="H19" s="107">
        <f t="shared" si="2"/>
        <v>0</v>
      </c>
      <c r="I19" s="108">
        <f t="shared" si="1"/>
        <v>0</v>
      </c>
      <c r="J19" s="8"/>
      <c r="K19" s="8"/>
      <c r="L19" s="8"/>
      <c r="M19" s="8"/>
      <c r="N19" s="8"/>
      <c r="O19" s="119"/>
      <c r="P19" s="119"/>
      <c r="Q19" s="119"/>
      <c r="R19" s="119"/>
    </row>
    <row r="20" spans="1:14" s="88" customFormat="1" ht="18" customHeight="1">
      <c r="A20" s="196"/>
      <c r="B20" s="307"/>
      <c r="C20" s="104"/>
      <c r="D20" s="124"/>
      <c r="E20" s="12"/>
      <c r="F20" s="12"/>
      <c r="G20" s="12"/>
      <c r="H20" s="107">
        <f t="shared" si="2"/>
        <v>0</v>
      </c>
      <c r="I20" s="108">
        <f t="shared" si="1"/>
        <v>0</v>
      </c>
      <c r="J20" s="8"/>
      <c r="K20" s="8"/>
      <c r="L20" s="8"/>
      <c r="M20" s="8"/>
      <c r="N20" s="8"/>
    </row>
    <row r="21" spans="1:14" s="88" customFormat="1" ht="18" customHeight="1">
      <c r="A21" s="196"/>
      <c r="B21" s="307"/>
      <c r="C21" s="104"/>
      <c r="D21" s="105"/>
      <c r="E21" s="106"/>
      <c r="F21" s="12"/>
      <c r="G21" s="12"/>
      <c r="H21" s="107">
        <f t="shared" si="2"/>
        <v>0</v>
      </c>
      <c r="I21" s="108">
        <f t="shared" si="1"/>
        <v>0</v>
      </c>
      <c r="J21" s="8"/>
      <c r="K21" s="8"/>
      <c r="L21" s="8"/>
      <c r="M21" s="8"/>
      <c r="N21" s="8"/>
    </row>
    <row r="22" spans="1:14" s="88" customFormat="1" ht="18" customHeight="1">
      <c r="A22" s="196"/>
      <c r="B22" s="307"/>
      <c r="C22" s="124"/>
      <c r="D22" s="105"/>
      <c r="E22" s="12"/>
      <c r="F22" s="12"/>
      <c r="G22" s="12"/>
      <c r="H22" s="107">
        <f t="shared" si="2"/>
        <v>0</v>
      </c>
      <c r="I22" s="108">
        <f t="shared" si="1"/>
        <v>0</v>
      </c>
      <c r="J22" s="8"/>
      <c r="K22" s="8"/>
      <c r="L22" s="8"/>
      <c r="M22" s="8"/>
      <c r="N22" s="8"/>
    </row>
    <row r="23" spans="1:14" s="88" customFormat="1" ht="18" customHeight="1">
      <c r="A23" s="196"/>
      <c r="B23" s="307"/>
      <c r="C23" s="104"/>
      <c r="D23" s="105"/>
      <c r="E23" s="106"/>
      <c r="F23" s="12"/>
      <c r="G23" s="12"/>
      <c r="H23" s="107">
        <f t="shared" si="2"/>
        <v>0</v>
      </c>
      <c r="I23" s="108">
        <f t="shared" si="1"/>
        <v>0</v>
      </c>
      <c r="J23" s="8"/>
      <c r="K23" s="8"/>
      <c r="L23" s="8"/>
      <c r="M23" s="8"/>
      <c r="N23" s="8"/>
    </row>
    <row r="24" spans="1:14" s="88" customFormat="1" ht="18" customHeight="1">
      <c r="A24" s="196"/>
      <c r="B24" s="307"/>
      <c r="C24" s="104"/>
      <c r="D24" s="124"/>
      <c r="E24" s="12"/>
      <c r="F24" s="12"/>
      <c r="G24" s="12"/>
      <c r="H24" s="107">
        <f t="shared" si="2"/>
        <v>0</v>
      </c>
      <c r="I24" s="108">
        <f t="shared" si="1"/>
        <v>0</v>
      </c>
      <c r="J24" s="8"/>
      <c r="K24" s="8"/>
      <c r="L24" s="8"/>
      <c r="M24" s="8"/>
      <c r="N24" s="8"/>
    </row>
    <row r="25" spans="1:14" s="88" customFormat="1" ht="18" customHeight="1">
      <c r="A25" s="196"/>
      <c r="B25" s="307"/>
      <c r="C25" s="104"/>
      <c r="D25" s="105"/>
      <c r="E25" s="106"/>
      <c r="F25" s="12"/>
      <c r="G25" s="12"/>
      <c r="H25" s="107">
        <f t="shared" si="2"/>
        <v>0</v>
      </c>
      <c r="I25" s="108">
        <f t="shared" si="1"/>
        <v>0</v>
      </c>
      <c r="J25" s="8"/>
      <c r="K25" s="8"/>
      <c r="L25" s="8"/>
      <c r="M25" s="8"/>
      <c r="N25" s="8"/>
    </row>
    <row r="26" spans="1:14" s="88" customFormat="1" ht="18" customHeight="1">
      <c r="A26" s="196"/>
      <c r="B26" s="307"/>
      <c r="C26" s="104"/>
      <c r="D26" s="105"/>
      <c r="E26" s="106"/>
      <c r="F26" s="104"/>
      <c r="G26" s="104"/>
      <c r="H26" s="107">
        <f t="shared" si="2"/>
        <v>0</v>
      </c>
      <c r="I26" s="108">
        <f t="shared" si="1"/>
        <v>0</v>
      </c>
      <c r="J26" s="8"/>
      <c r="K26" s="8"/>
      <c r="L26" s="8"/>
      <c r="M26" s="8"/>
      <c r="N26" s="8"/>
    </row>
    <row r="27" spans="1:14" s="88" customFormat="1" ht="18" customHeight="1">
      <c r="A27" s="13"/>
      <c r="B27" s="14"/>
      <c r="C27" s="105"/>
      <c r="D27" s="124"/>
      <c r="E27" s="12"/>
      <c r="F27" s="104"/>
      <c r="G27" s="104"/>
      <c r="H27" s="107">
        <f t="shared" si="2"/>
        <v>0</v>
      </c>
      <c r="I27" s="108">
        <f t="shared" si="1"/>
        <v>0</v>
      </c>
      <c r="J27" s="8"/>
      <c r="K27" s="8"/>
      <c r="L27" s="8"/>
      <c r="M27" s="8"/>
      <c r="N27" s="8"/>
    </row>
    <row r="28" spans="1:9" ht="24" customHeight="1">
      <c r="A28" s="1"/>
      <c r="B28" s="3"/>
      <c r="C28" s="138"/>
      <c r="D28" s="140">
        <f>SUM(D4:D27)</f>
        <v>503</v>
      </c>
      <c r="E28" s="138"/>
      <c r="F28" s="3"/>
      <c r="G28" s="140">
        <f>SUM(G4:G27)</f>
        <v>39</v>
      </c>
      <c r="H28" s="140">
        <f>SUM(H4:H27)</f>
        <v>7060000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127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222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38</v>
      </c>
      <c r="B4" s="307">
        <v>14.3</v>
      </c>
      <c r="C4" s="105">
        <v>36</v>
      </c>
      <c r="D4" s="105">
        <v>35</v>
      </c>
      <c r="E4" s="12">
        <v>1.76</v>
      </c>
      <c r="F4" s="104">
        <v>1</v>
      </c>
      <c r="G4" s="104">
        <v>10</v>
      </c>
      <c r="H4" s="107">
        <f>N4+I4</f>
        <v>2530000</v>
      </c>
      <c r="I4" s="108">
        <f>IF(E4&gt;0,$N$13,0)+IF(C4&gt;0,50000,0)+IF(C4&lt;0,50000,0)</f>
        <v>530000</v>
      </c>
      <c r="J4" s="109" t="s">
        <v>88</v>
      </c>
      <c r="K4" s="110"/>
      <c r="L4" s="111"/>
      <c r="M4" s="112">
        <v>10</v>
      </c>
      <c r="N4" s="107">
        <f>N12*25%</f>
        <v>2000000</v>
      </c>
    </row>
    <row r="5" spans="1:14" s="113" customFormat="1" ht="18" customHeight="1">
      <c r="A5" s="196" t="s">
        <v>48</v>
      </c>
      <c r="B5" s="307">
        <v>7.1</v>
      </c>
      <c r="C5" s="12">
        <v>33</v>
      </c>
      <c r="D5" s="105">
        <v>34</v>
      </c>
      <c r="E5" s="12"/>
      <c r="F5" s="104">
        <v>2</v>
      </c>
      <c r="G5" s="104">
        <v>8</v>
      </c>
      <c r="H5" s="107">
        <f aca="true" t="shared" si="0" ref="H5:H11">N5+I5</f>
        <v>1650000</v>
      </c>
      <c r="I5" s="108">
        <f aca="true" t="shared" si="1" ref="I5:I27">IF(E5&gt;0,$N$13,0)+IF(C5&gt;0,50000,0)+IF(C5&lt;0,50000,0)</f>
        <v>50000</v>
      </c>
      <c r="J5" s="114" t="s">
        <v>89</v>
      </c>
      <c r="K5" s="115"/>
      <c r="L5" s="116"/>
      <c r="M5" s="117">
        <v>8</v>
      </c>
      <c r="N5" s="107">
        <f>N12*20%</f>
        <v>1600000</v>
      </c>
    </row>
    <row r="6" spans="1:14" s="113" customFormat="1" ht="18" customHeight="1">
      <c r="A6" s="196" t="s">
        <v>10</v>
      </c>
      <c r="B6" s="307">
        <v>15.1</v>
      </c>
      <c r="C6" s="104">
        <v>33</v>
      </c>
      <c r="D6" s="124">
        <v>34</v>
      </c>
      <c r="E6" s="106" t="s">
        <v>223</v>
      </c>
      <c r="F6" s="12">
        <v>3</v>
      </c>
      <c r="G6" s="12">
        <v>6</v>
      </c>
      <c r="H6" s="107">
        <v>1450000</v>
      </c>
      <c r="I6" s="108">
        <f t="shared" si="1"/>
        <v>530000</v>
      </c>
      <c r="J6" s="114" t="s">
        <v>90</v>
      </c>
      <c r="K6" s="115"/>
      <c r="L6" s="116"/>
      <c r="M6" s="117">
        <v>6</v>
      </c>
      <c r="N6" s="107">
        <f>N12*15%</f>
        <v>1200000</v>
      </c>
    </row>
    <row r="7" spans="1:18" s="113" customFormat="1" ht="18" customHeight="1">
      <c r="A7" s="196" t="s">
        <v>26</v>
      </c>
      <c r="B7" s="307">
        <v>21.3</v>
      </c>
      <c r="C7" s="104">
        <v>33</v>
      </c>
      <c r="D7" s="105">
        <v>36</v>
      </c>
      <c r="E7" s="12"/>
      <c r="F7" s="104">
        <v>4</v>
      </c>
      <c r="G7" s="104">
        <v>5</v>
      </c>
      <c r="H7" s="107">
        <f t="shared" si="0"/>
        <v>1010000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960000</v>
      </c>
      <c r="O7" s="118"/>
      <c r="P7" s="118"/>
      <c r="Q7" s="118"/>
      <c r="R7" s="119"/>
    </row>
    <row r="8" spans="1:14" s="113" customFormat="1" ht="18" customHeight="1">
      <c r="A8" s="196" t="s">
        <v>40</v>
      </c>
      <c r="B8" s="307">
        <v>25.4</v>
      </c>
      <c r="C8" s="124">
        <v>33</v>
      </c>
      <c r="D8" s="105">
        <v>32</v>
      </c>
      <c r="E8" s="12"/>
      <c r="F8" s="104">
        <v>5</v>
      </c>
      <c r="G8" s="104">
        <v>4</v>
      </c>
      <c r="H8" s="107">
        <f t="shared" si="0"/>
        <v>850000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800000</v>
      </c>
    </row>
    <row r="9" spans="1:14" s="113" customFormat="1" ht="18" customHeight="1">
      <c r="A9" s="196" t="s">
        <v>28</v>
      </c>
      <c r="B9" s="307">
        <v>11.3</v>
      </c>
      <c r="C9" s="104">
        <v>32</v>
      </c>
      <c r="D9" s="105">
        <v>34</v>
      </c>
      <c r="E9" s="12">
        <v>4.24</v>
      </c>
      <c r="F9" s="121">
        <v>6</v>
      </c>
      <c r="G9" s="121">
        <v>3</v>
      </c>
      <c r="H9" s="107">
        <v>790000</v>
      </c>
      <c r="I9" s="108">
        <f t="shared" si="1"/>
        <v>530000</v>
      </c>
      <c r="J9" s="114" t="s">
        <v>93</v>
      </c>
      <c r="K9" s="115"/>
      <c r="L9" s="116"/>
      <c r="M9" s="117">
        <v>3</v>
      </c>
      <c r="N9" s="107">
        <f>N12*8%</f>
        <v>640000</v>
      </c>
    </row>
    <row r="10" spans="1:14" s="113" customFormat="1" ht="18" customHeight="1">
      <c r="A10" s="196" t="s">
        <v>30</v>
      </c>
      <c r="B10" s="307">
        <v>11.9</v>
      </c>
      <c r="C10" s="104">
        <v>32</v>
      </c>
      <c r="D10" s="124">
        <v>36</v>
      </c>
      <c r="E10" s="106"/>
      <c r="F10" s="104">
        <v>7</v>
      </c>
      <c r="G10" s="104">
        <v>2</v>
      </c>
      <c r="H10" s="107">
        <f t="shared" si="0"/>
        <v>530000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480000</v>
      </c>
    </row>
    <row r="11" spans="1:14" s="113" customFormat="1" ht="18" customHeight="1">
      <c r="A11" s="196" t="s">
        <v>34</v>
      </c>
      <c r="B11" s="307">
        <v>13.9</v>
      </c>
      <c r="C11" s="105">
        <v>32</v>
      </c>
      <c r="D11" s="124">
        <v>34</v>
      </c>
      <c r="E11" s="106"/>
      <c r="F11" s="104">
        <v>8</v>
      </c>
      <c r="G11" s="104">
        <v>1</v>
      </c>
      <c r="H11" s="107">
        <f t="shared" si="0"/>
        <v>370000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320000</v>
      </c>
    </row>
    <row r="12" spans="1:14" s="113" customFormat="1" ht="18" customHeight="1">
      <c r="A12" s="196" t="s">
        <v>18</v>
      </c>
      <c r="B12" s="307">
        <v>14.3</v>
      </c>
      <c r="C12" s="104">
        <v>31</v>
      </c>
      <c r="D12" s="105">
        <v>36</v>
      </c>
      <c r="E12" s="106"/>
      <c r="F12" s="104"/>
      <c r="G12" s="104"/>
      <c r="H12" s="107">
        <f>I12</f>
        <v>50000</v>
      </c>
      <c r="I12" s="108">
        <f t="shared" si="1"/>
        <v>50000</v>
      </c>
      <c r="J12" s="122" t="s">
        <v>96</v>
      </c>
      <c r="K12" s="115"/>
      <c r="L12" s="116"/>
      <c r="M12" s="117"/>
      <c r="N12" s="123">
        <v>8000000</v>
      </c>
    </row>
    <row r="13" spans="1:14" s="113" customFormat="1" ht="18" customHeight="1">
      <c r="A13" s="196" t="s">
        <v>36</v>
      </c>
      <c r="B13" s="307">
        <v>22.1</v>
      </c>
      <c r="C13" s="104">
        <v>31</v>
      </c>
      <c r="D13" s="124">
        <v>34</v>
      </c>
      <c r="E13" s="106"/>
      <c r="F13" s="104"/>
      <c r="G13" s="104"/>
      <c r="H13" s="107">
        <f aca="true" t="shared" si="2" ref="H13:H27">I13</f>
        <v>50000</v>
      </c>
      <c r="I13" s="108">
        <f t="shared" si="1"/>
        <v>50000</v>
      </c>
      <c r="J13" s="125" t="s">
        <v>97</v>
      </c>
      <c r="K13" s="126"/>
      <c r="L13" s="127"/>
      <c r="M13" s="128">
        <v>1</v>
      </c>
      <c r="N13" s="129">
        <f>N10</f>
        <v>480000</v>
      </c>
    </row>
    <row r="14" spans="1:14" s="113" customFormat="1" ht="18" customHeight="1">
      <c r="A14" s="196" t="s">
        <v>333</v>
      </c>
      <c r="B14" s="307">
        <v>11.7</v>
      </c>
      <c r="C14" s="104">
        <v>30</v>
      </c>
      <c r="D14" s="105">
        <v>39</v>
      </c>
      <c r="E14" s="106">
        <v>15</v>
      </c>
      <c r="F14" s="104"/>
      <c r="G14" s="104"/>
      <c r="H14" s="107">
        <v>150000</v>
      </c>
      <c r="I14" s="108">
        <f t="shared" si="1"/>
        <v>530000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12</v>
      </c>
      <c r="B15" s="307">
        <v>18.6</v>
      </c>
      <c r="C15" s="104">
        <v>30</v>
      </c>
      <c r="D15" s="105">
        <v>40</v>
      </c>
      <c r="E15" s="106"/>
      <c r="F15" s="104"/>
      <c r="G15" s="104"/>
      <c r="H15" s="107">
        <f t="shared" si="2"/>
        <v>50000</v>
      </c>
      <c r="I15" s="108">
        <f t="shared" si="1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8</v>
      </c>
      <c r="B16" s="307">
        <v>23</v>
      </c>
      <c r="C16" s="105">
        <v>30</v>
      </c>
      <c r="D16" s="124">
        <v>38</v>
      </c>
      <c r="E16" s="106"/>
      <c r="F16" s="12"/>
      <c r="G16" s="12"/>
      <c r="H16" s="107">
        <f t="shared" si="2"/>
        <v>50000</v>
      </c>
      <c r="I16" s="108">
        <f t="shared" si="1"/>
        <v>50000</v>
      </c>
    </row>
    <row r="17" spans="1:18" s="113" customFormat="1" ht="18" customHeight="1">
      <c r="A17" s="196" t="s">
        <v>20</v>
      </c>
      <c r="B17" s="307">
        <v>17.8</v>
      </c>
      <c r="C17" s="105">
        <v>29</v>
      </c>
      <c r="D17" s="105">
        <v>33</v>
      </c>
      <c r="E17" s="121"/>
      <c r="F17" s="12"/>
      <c r="G17" s="12"/>
      <c r="H17" s="107">
        <f t="shared" si="2"/>
        <v>50000</v>
      </c>
      <c r="I17" s="108">
        <f t="shared" si="1"/>
        <v>50000</v>
      </c>
      <c r="O17" s="118"/>
      <c r="P17" s="118"/>
      <c r="Q17" s="118"/>
      <c r="R17" s="119"/>
    </row>
    <row r="18" spans="1:13" s="113" customFormat="1" ht="18" customHeight="1">
      <c r="A18" s="196" t="s">
        <v>42</v>
      </c>
      <c r="B18" s="307">
        <v>18.1</v>
      </c>
      <c r="C18" s="104">
        <v>29</v>
      </c>
      <c r="D18" s="105">
        <v>38</v>
      </c>
      <c r="E18" s="12"/>
      <c r="F18" s="104"/>
      <c r="G18" s="104"/>
      <c r="H18" s="107">
        <f t="shared" si="2"/>
        <v>50000</v>
      </c>
      <c r="I18" s="108">
        <f t="shared" si="1"/>
        <v>50000</v>
      </c>
      <c r="J18" s="119"/>
      <c r="K18" s="119"/>
      <c r="L18" s="119"/>
      <c r="M18" s="119"/>
    </row>
    <row r="19" spans="1:13" s="113" customFormat="1" ht="18" customHeight="1">
      <c r="A19" s="196" t="s">
        <v>50</v>
      </c>
      <c r="B19" s="307">
        <v>23.1</v>
      </c>
      <c r="C19" s="12">
        <v>26</v>
      </c>
      <c r="D19" s="124">
        <v>41</v>
      </c>
      <c r="E19" s="106"/>
      <c r="F19" s="104"/>
      <c r="G19" s="104"/>
      <c r="H19" s="107">
        <f t="shared" si="2"/>
        <v>50000</v>
      </c>
      <c r="I19" s="108">
        <f t="shared" si="1"/>
        <v>50000</v>
      </c>
      <c r="J19" s="119"/>
      <c r="K19" s="119"/>
      <c r="L19" s="119"/>
      <c r="M19" s="119"/>
    </row>
    <row r="20" spans="1:9" s="88" customFormat="1" ht="18" customHeight="1">
      <c r="A20" s="196" t="s">
        <v>24</v>
      </c>
      <c r="B20" s="307">
        <v>14.6</v>
      </c>
      <c r="C20" s="105">
        <v>13</v>
      </c>
      <c r="D20" s="105">
        <v>44</v>
      </c>
      <c r="E20" s="106"/>
      <c r="F20" s="12"/>
      <c r="G20" s="12"/>
      <c r="H20" s="107">
        <f t="shared" si="2"/>
        <v>50000</v>
      </c>
      <c r="I20" s="108">
        <f t="shared" si="1"/>
        <v>50000</v>
      </c>
    </row>
    <row r="21" spans="1:9" s="88" customFormat="1" ht="18" customHeight="1">
      <c r="A21" s="196"/>
      <c r="B21" s="307"/>
      <c r="C21" s="105"/>
      <c r="D21" s="105"/>
      <c r="E21" s="12"/>
      <c r="F21" s="12"/>
      <c r="G21" s="12"/>
      <c r="H21" s="107">
        <f t="shared" si="2"/>
        <v>0</v>
      </c>
      <c r="I21" s="108">
        <f t="shared" si="1"/>
        <v>0</v>
      </c>
    </row>
    <row r="22" spans="1:9" s="88" customFormat="1" ht="18" customHeight="1">
      <c r="A22" s="196"/>
      <c r="B22" s="307"/>
      <c r="C22" s="104"/>
      <c r="D22" s="124"/>
      <c r="E22" s="106"/>
      <c r="F22" s="12"/>
      <c r="G22" s="12"/>
      <c r="H22" s="107">
        <f t="shared" si="2"/>
        <v>0</v>
      </c>
      <c r="I22" s="108">
        <f t="shared" si="1"/>
        <v>0</v>
      </c>
    </row>
    <row r="23" spans="1:9" s="88" customFormat="1" ht="18" customHeight="1">
      <c r="A23" s="196"/>
      <c r="B23" s="307"/>
      <c r="C23" s="104"/>
      <c r="D23" s="105"/>
      <c r="E23" s="106"/>
      <c r="F23" s="12"/>
      <c r="G23" s="12"/>
      <c r="H23" s="107">
        <f t="shared" si="2"/>
        <v>0</v>
      </c>
      <c r="I23" s="108">
        <f t="shared" si="1"/>
        <v>0</v>
      </c>
    </row>
    <row r="24" spans="1:9" s="88" customFormat="1" ht="18" customHeight="1">
      <c r="A24" s="196"/>
      <c r="B24" s="307"/>
      <c r="C24" s="104"/>
      <c r="D24" s="124"/>
      <c r="E24" s="106"/>
      <c r="F24" s="12"/>
      <c r="G24" s="12"/>
      <c r="H24" s="107">
        <f t="shared" si="2"/>
        <v>0</v>
      </c>
      <c r="I24" s="108">
        <f t="shared" si="1"/>
        <v>0</v>
      </c>
    </row>
    <row r="25" spans="1:9" s="88" customFormat="1" ht="18" customHeight="1">
      <c r="A25" s="196"/>
      <c r="B25" s="307"/>
      <c r="C25" s="104"/>
      <c r="D25" s="105"/>
      <c r="E25" s="106"/>
      <c r="F25" s="12"/>
      <c r="G25" s="12"/>
      <c r="H25" s="107">
        <f t="shared" si="2"/>
        <v>0</v>
      </c>
      <c r="I25" s="108">
        <f t="shared" si="1"/>
        <v>0</v>
      </c>
    </row>
    <row r="26" spans="1:9" s="88" customFormat="1" ht="18" customHeight="1">
      <c r="A26" s="196"/>
      <c r="B26" s="307"/>
      <c r="C26" s="104"/>
      <c r="D26" s="105"/>
      <c r="E26" s="12"/>
      <c r="F26" s="104"/>
      <c r="G26" s="104"/>
      <c r="H26" s="107">
        <f t="shared" si="2"/>
        <v>0</v>
      </c>
      <c r="I26" s="108">
        <f t="shared" si="1"/>
        <v>0</v>
      </c>
    </row>
    <row r="27" spans="1:9" s="88" customFormat="1" ht="18" customHeight="1">
      <c r="A27" s="13"/>
      <c r="B27" s="14"/>
      <c r="C27" s="104"/>
      <c r="D27" s="105"/>
      <c r="E27" s="106"/>
      <c r="F27" s="104"/>
      <c r="G27" s="104"/>
      <c r="H27" s="107">
        <f t="shared" si="2"/>
        <v>0</v>
      </c>
      <c r="I27" s="108">
        <f t="shared" si="1"/>
        <v>0</v>
      </c>
    </row>
    <row r="28" spans="1:9" ht="24" customHeight="1">
      <c r="A28" s="1"/>
      <c r="B28" s="3"/>
      <c r="C28" s="138"/>
      <c r="D28" s="155">
        <f>SUM(D4:D27)</f>
        <v>618</v>
      </c>
      <c r="E28" s="138"/>
      <c r="F28" s="3"/>
      <c r="G28" s="140">
        <f>SUM(G4:G27)</f>
        <v>39</v>
      </c>
      <c r="H28" s="140">
        <f>SUM(H4:H27)</f>
        <v>9730000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R30"/>
  <sheetViews>
    <sheetView zoomScale="150" zoomScaleNormal="150" zoomScalePageLayoutView="0" workbookViewId="0" topLeftCell="A1">
      <selection activeCell="X10" sqref="X10"/>
    </sheetView>
  </sheetViews>
  <sheetFormatPr defaultColWidth="9.140625" defaultRowHeight="12.75"/>
  <cols>
    <col min="1" max="1" width="1.28515625" style="15" customWidth="1"/>
    <col min="2" max="2" width="25.140625" style="15" customWidth="1"/>
    <col min="3" max="3" width="10.28125" style="27" customWidth="1"/>
    <col min="4" max="39" width="3.8515625" style="27" customWidth="1"/>
    <col min="40" max="40" width="4.8515625" style="28" customWidth="1"/>
    <col min="41" max="41" width="5.421875" style="28" customWidth="1"/>
    <col min="42" max="42" width="4.421875" style="29" customWidth="1"/>
    <col min="43" max="16384" width="9.140625" style="15" customWidth="1"/>
  </cols>
  <sheetData>
    <row r="1" spans="3:42" ht="24.75" customHeight="1">
      <c r="C1" s="18" t="s">
        <v>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30"/>
      <c r="AO1" s="30"/>
      <c r="AP1" s="31"/>
    </row>
    <row r="2" spans="2:42" s="20" customFormat="1" ht="66.75" customHeight="1">
      <c r="B2" s="21"/>
      <c r="C2" s="32" t="s">
        <v>55</v>
      </c>
      <c r="D2" s="238">
        <v>42288</v>
      </c>
      <c r="E2" s="238">
        <v>42285</v>
      </c>
      <c r="F2" s="238">
        <v>42278</v>
      </c>
      <c r="G2" s="238">
        <v>42271</v>
      </c>
      <c r="H2" s="238">
        <v>42264</v>
      </c>
      <c r="I2" s="238">
        <v>42257</v>
      </c>
      <c r="J2" s="238">
        <v>42250</v>
      </c>
      <c r="K2" s="273" t="s">
        <v>206</v>
      </c>
      <c r="L2" s="238" t="s">
        <v>207</v>
      </c>
      <c r="M2" s="238">
        <v>42243</v>
      </c>
      <c r="N2" s="238">
        <v>42236</v>
      </c>
      <c r="O2" s="238">
        <v>42229</v>
      </c>
      <c r="P2" s="238">
        <v>42222</v>
      </c>
      <c r="Q2" s="238">
        <v>42215</v>
      </c>
      <c r="R2" s="238">
        <v>42208</v>
      </c>
      <c r="S2" s="238">
        <v>42201</v>
      </c>
      <c r="T2" s="238">
        <v>42194</v>
      </c>
      <c r="U2" s="238">
        <v>42187</v>
      </c>
      <c r="V2" s="238">
        <v>42180</v>
      </c>
      <c r="W2" s="238">
        <v>42173</v>
      </c>
      <c r="X2" s="238">
        <v>42166</v>
      </c>
      <c r="Y2" s="238">
        <v>42159</v>
      </c>
      <c r="Z2" s="238" t="s">
        <v>208</v>
      </c>
      <c r="AA2" s="238" t="s">
        <v>209</v>
      </c>
      <c r="AB2" s="238">
        <v>42152</v>
      </c>
      <c r="AC2" s="238">
        <v>42145</v>
      </c>
      <c r="AD2" s="238">
        <v>42138</v>
      </c>
      <c r="AE2" s="238">
        <v>42131</v>
      </c>
      <c r="AF2" s="238">
        <v>42124</v>
      </c>
      <c r="AG2" s="238">
        <v>42117</v>
      </c>
      <c r="AH2" s="238">
        <v>42110</v>
      </c>
      <c r="AI2" s="238">
        <v>42103</v>
      </c>
      <c r="AJ2" s="238">
        <v>42096</v>
      </c>
      <c r="AK2" s="238">
        <v>42089</v>
      </c>
      <c r="AL2" s="238">
        <v>42082</v>
      </c>
      <c r="AM2" s="238">
        <v>42075</v>
      </c>
      <c r="AN2" s="254" t="s">
        <v>59</v>
      </c>
      <c r="AO2" s="254" t="s">
        <v>60</v>
      </c>
      <c r="AP2" s="34" t="s">
        <v>61</v>
      </c>
    </row>
    <row r="3" spans="2:44" ht="15.75">
      <c r="B3" s="175" t="s">
        <v>49</v>
      </c>
      <c r="C3" s="176">
        <f aca="true" t="shared" si="0" ref="C3:C26">SUM(D3:AM3)</f>
        <v>127</v>
      </c>
      <c r="D3" s="169">
        <v>10</v>
      </c>
      <c r="E3" s="463" t="s">
        <v>316</v>
      </c>
      <c r="F3" s="169"/>
      <c r="G3" s="169">
        <v>6</v>
      </c>
      <c r="H3" s="463" t="s">
        <v>317</v>
      </c>
      <c r="I3" s="169"/>
      <c r="J3" s="169">
        <v>3</v>
      </c>
      <c r="K3" s="169">
        <v>10</v>
      </c>
      <c r="L3" s="170">
        <v>8</v>
      </c>
      <c r="M3" s="463" t="s">
        <v>332</v>
      </c>
      <c r="N3" s="169"/>
      <c r="O3" s="169">
        <v>8</v>
      </c>
      <c r="P3" s="169"/>
      <c r="Q3" s="169">
        <v>4</v>
      </c>
      <c r="R3" s="169">
        <v>10</v>
      </c>
      <c r="S3" s="169">
        <v>4</v>
      </c>
      <c r="T3" s="169"/>
      <c r="U3" s="169"/>
      <c r="V3" s="169">
        <v>10</v>
      </c>
      <c r="W3" s="169"/>
      <c r="X3" s="463" t="s">
        <v>316</v>
      </c>
      <c r="Y3" s="169">
        <v>8</v>
      </c>
      <c r="Z3" s="169">
        <v>10</v>
      </c>
      <c r="AA3" s="463" t="s">
        <v>316</v>
      </c>
      <c r="AB3" s="169">
        <v>5</v>
      </c>
      <c r="AC3" s="169">
        <v>6</v>
      </c>
      <c r="AD3" s="169">
        <v>8</v>
      </c>
      <c r="AE3" s="169">
        <v>4</v>
      </c>
      <c r="AF3" s="169"/>
      <c r="AG3" s="169">
        <v>5</v>
      </c>
      <c r="AH3" s="169"/>
      <c r="AI3" s="169">
        <v>8</v>
      </c>
      <c r="AJ3" s="169"/>
      <c r="AK3" s="170"/>
      <c r="AL3" s="169"/>
      <c r="AM3" s="463" t="s">
        <v>316</v>
      </c>
      <c r="AN3" s="171">
        <f aca="true" t="shared" si="1" ref="AN3:AN26">COUNTIF(D3:AM3,"&gt;0")</f>
        <v>18</v>
      </c>
      <c r="AO3" s="171">
        <f aca="true" t="shared" si="2" ref="AO3:AO26">SMALL(D3:AM3,1)</f>
        <v>3</v>
      </c>
      <c r="AP3" s="172">
        <f aca="true" t="shared" si="3" ref="AP3:AP26">COUNTIF(D3:AM3,"=10")</f>
        <v>5</v>
      </c>
      <c r="AR3" s="40" t="str">
        <f>IF(AN3&gt;18,"OBS"," ")</f>
        <v> </v>
      </c>
    </row>
    <row r="4" spans="2:44" s="24" customFormat="1" ht="15.75">
      <c r="B4" s="177" t="s">
        <v>35</v>
      </c>
      <c r="C4" s="178">
        <f t="shared" si="0"/>
        <v>102</v>
      </c>
      <c r="D4" s="169">
        <v>8</v>
      </c>
      <c r="E4" s="169"/>
      <c r="F4" s="169">
        <v>6</v>
      </c>
      <c r="G4" s="169">
        <v>10</v>
      </c>
      <c r="H4" s="169">
        <v>8</v>
      </c>
      <c r="I4" s="169"/>
      <c r="J4" s="169">
        <v>8</v>
      </c>
      <c r="K4" s="169">
        <v>5</v>
      </c>
      <c r="L4" s="170"/>
      <c r="M4" s="169">
        <v>5</v>
      </c>
      <c r="N4" s="169"/>
      <c r="O4" s="169"/>
      <c r="P4" s="169"/>
      <c r="Q4" s="169"/>
      <c r="R4" s="169">
        <v>1</v>
      </c>
      <c r="S4" s="169">
        <v>5</v>
      </c>
      <c r="T4" s="169">
        <v>10</v>
      </c>
      <c r="U4" s="169"/>
      <c r="V4" s="169"/>
      <c r="W4" s="169"/>
      <c r="X4" s="169">
        <v>6</v>
      </c>
      <c r="Y4" s="169"/>
      <c r="Z4" s="169"/>
      <c r="AA4" s="169">
        <v>6</v>
      </c>
      <c r="AB4" s="169"/>
      <c r="AC4" s="169">
        <v>8</v>
      </c>
      <c r="AD4" s="169">
        <v>1</v>
      </c>
      <c r="AE4" s="169"/>
      <c r="AF4" s="169"/>
      <c r="AG4" s="169"/>
      <c r="AH4" s="169">
        <v>3</v>
      </c>
      <c r="AI4" s="463" t="s">
        <v>317</v>
      </c>
      <c r="AJ4" s="169">
        <v>8</v>
      </c>
      <c r="AK4" s="170">
        <v>2</v>
      </c>
      <c r="AL4" s="169">
        <v>2</v>
      </c>
      <c r="AM4" s="169"/>
      <c r="AN4" s="171">
        <f t="shared" si="1"/>
        <v>18</v>
      </c>
      <c r="AO4" s="171">
        <f t="shared" si="2"/>
        <v>1</v>
      </c>
      <c r="AP4" s="172">
        <f t="shared" si="3"/>
        <v>2</v>
      </c>
      <c r="AR4" s="40" t="str">
        <f aca="true" t="shared" si="4" ref="AR4:AR26">IF(AN4&gt;18,"OBS"," ")</f>
        <v> </v>
      </c>
    </row>
    <row r="5" spans="2:44" ht="15.75">
      <c r="B5" s="179" t="s">
        <v>43</v>
      </c>
      <c r="C5" s="180">
        <f t="shared" si="0"/>
        <v>97</v>
      </c>
      <c r="D5" s="169"/>
      <c r="E5" s="169">
        <v>8</v>
      </c>
      <c r="F5" s="169">
        <v>10</v>
      </c>
      <c r="G5" s="169">
        <v>2</v>
      </c>
      <c r="H5" s="169"/>
      <c r="I5" s="169">
        <v>4</v>
      </c>
      <c r="J5" s="169">
        <v>10</v>
      </c>
      <c r="K5" s="169"/>
      <c r="L5" s="170">
        <v>3</v>
      </c>
      <c r="M5" s="169"/>
      <c r="N5" s="169">
        <v>2</v>
      </c>
      <c r="O5" s="169">
        <v>5</v>
      </c>
      <c r="P5" s="169"/>
      <c r="Q5" s="169"/>
      <c r="R5" s="169">
        <v>3</v>
      </c>
      <c r="S5" s="169"/>
      <c r="T5" s="169">
        <v>3</v>
      </c>
      <c r="U5" s="169">
        <v>5</v>
      </c>
      <c r="V5" s="463" t="s">
        <v>316</v>
      </c>
      <c r="W5" s="169"/>
      <c r="X5" s="169"/>
      <c r="Y5" s="169">
        <v>3</v>
      </c>
      <c r="Z5" s="169"/>
      <c r="AA5" s="169">
        <v>4</v>
      </c>
      <c r="AB5" s="169"/>
      <c r="AC5" s="169">
        <v>4</v>
      </c>
      <c r="AD5" s="169"/>
      <c r="AE5" s="169">
        <v>5</v>
      </c>
      <c r="AF5" s="169">
        <v>10</v>
      </c>
      <c r="AG5" s="169">
        <v>6</v>
      </c>
      <c r="AH5" s="169"/>
      <c r="AI5" s="169"/>
      <c r="AJ5" s="169"/>
      <c r="AK5" s="467" t="s">
        <v>317</v>
      </c>
      <c r="AL5" s="169">
        <v>10</v>
      </c>
      <c r="AM5" s="169"/>
      <c r="AN5" s="171">
        <f t="shared" si="1"/>
        <v>18</v>
      </c>
      <c r="AO5" s="171">
        <f t="shared" si="2"/>
        <v>2</v>
      </c>
      <c r="AP5" s="172">
        <f t="shared" si="3"/>
        <v>4</v>
      </c>
      <c r="AR5" s="40" t="str">
        <f t="shared" si="4"/>
        <v> </v>
      </c>
    </row>
    <row r="6" spans="2:44" ht="15.75">
      <c r="B6" s="168" t="s">
        <v>29</v>
      </c>
      <c r="C6" s="173">
        <f t="shared" si="0"/>
        <v>97</v>
      </c>
      <c r="D6" s="169"/>
      <c r="E6" s="169">
        <v>4</v>
      </c>
      <c r="F6" s="169">
        <v>4</v>
      </c>
      <c r="G6" s="169">
        <v>5</v>
      </c>
      <c r="H6" s="169"/>
      <c r="I6" s="463" t="s">
        <v>317</v>
      </c>
      <c r="J6" s="463" t="s">
        <v>316</v>
      </c>
      <c r="K6" s="169">
        <v>5</v>
      </c>
      <c r="L6" s="301">
        <v>6</v>
      </c>
      <c r="M6" s="298">
        <v>6</v>
      </c>
      <c r="N6" s="463" t="s">
        <v>317</v>
      </c>
      <c r="O6" s="169">
        <v>6</v>
      </c>
      <c r="P6" s="169">
        <v>5</v>
      </c>
      <c r="Q6" s="169"/>
      <c r="R6" s="169"/>
      <c r="S6" s="169">
        <v>3</v>
      </c>
      <c r="T6" s="169">
        <v>8</v>
      </c>
      <c r="U6" s="169"/>
      <c r="V6" s="169"/>
      <c r="W6" s="169">
        <v>6</v>
      </c>
      <c r="X6" s="169">
        <v>10</v>
      </c>
      <c r="Y6" s="169"/>
      <c r="Z6" s="298">
        <v>5</v>
      </c>
      <c r="AA6" s="169"/>
      <c r="AB6" s="298"/>
      <c r="AC6" s="463" t="s">
        <v>316</v>
      </c>
      <c r="AD6" s="463" t="s">
        <v>316</v>
      </c>
      <c r="AE6" s="169"/>
      <c r="AF6" s="298">
        <v>4</v>
      </c>
      <c r="AG6" s="463" t="s">
        <v>316</v>
      </c>
      <c r="AH6" s="298"/>
      <c r="AI6" s="169">
        <v>3</v>
      </c>
      <c r="AJ6" s="169">
        <v>10</v>
      </c>
      <c r="AK6" s="170">
        <v>3</v>
      </c>
      <c r="AL6" s="169"/>
      <c r="AM6" s="169">
        <v>4</v>
      </c>
      <c r="AN6" s="171">
        <f t="shared" si="1"/>
        <v>18</v>
      </c>
      <c r="AO6" s="171">
        <f t="shared" si="2"/>
        <v>3</v>
      </c>
      <c r="AP6" s="172">
        <f t="shared" si="3"/>
        <v>2</v>
      </c>
      <c r="AR6" s="40" t="str">
        <f t="shared" si="4"/>
        <v> </v>
      </c>
    </row>
    <row r="7" spans="2:44" ht="15.75">
      <c r="B7" s="13" t="s">
        <v>39</v>
      </c>
      <c r="C7" s="174">
        <f t="shared" si="0"/>
        <v>96</v>
      </c>
      <c r="D7" s="169"/>
      <c r="E7" s="169"/>
      <c r="F7" s="169">
        <v>8</v>
      </c>
      <c r="G7" s="169"/>
      <c r="H7" s="298"/>
      <c r="I7" s="169">
        <v>8</v>
      </c>
      <c r="J7" s="169">
        <v>6</v>
      </c>
      <c r="K7" s="169"/>
      <c r="L7" s="170"/>
      <c r="M7" s="169">
        <v>8</v>
      </c>
      <c r="N7" s="298"/>
      <c r="O7" s="169"/>
      <c r="P7" s="169"/>
      <c r="Q7" s="169"/>
      <c r="R7" s="169"/>
      <c r="S7" s="169"/>
      <c r="T7" s="298">
        <v>1</v>
      </c>
      <c r="U7" s="298">
        <v>10</v>
      </c>
      <c r="V7" s="298">
        <v>6</v>
      </c>
      <c r="W7" s="169">
        <v>4</v>
      </c>
      <c r="X7" s="169"/>
      <c r="Y7" s="169">
        <v>4</v>
      </c>
      <c r="Z7" s="169">
        <v>2</v>
      </c>
      <c r="AA7" s="169"/>
      <c r="AB7" s="169">
        <v>6</v>
      </c>
      <c r="AC7" s="169"/>
      <c r="AD7" s="169">
        <v>10</v>
      </c>
      <c r="AE7" s="169">
        <v>6</v>
      </c>
      <c r="AF7" s="298">
        <v>1</v>
      </c>
      <c r="AG7" s="169"/>
      <c r="AH7" s="169"/>
      <c r="AI7" s="169">
        <v>10</v>
      </c>
      <c r="AJ7" s="169"/>
      <c r="AK7" s="301">
        <v>5</v>
      </c>
      <c r="AL7" s="298">
        <v>1</v>
      </c>
      <c r="AM7" s="169"/>
      <c r="AN7" s="171">
        <f t="shared" si="1"/>
        <v>17</v>
      </c>
      <c r="AO7" s="171">
        <f t="shared" si="2"/>
        <v>1</v>
      </c>
      <c r="AP7" s="172">
        <f t="shared" si="3"/>
        <v>3</v>
      </c>
      <c r="AR7" s="40" t="str">
        <f t="shared" si="4"/>
        <v> </v>
      </c>
    </row>
    <row r="8" spans="2:44" ht="15.75">
      <c r="B8" s="13" t="s">
        <v>31</v>
      </c>
      <c r="C8" s="174">
        <f t="shared" si="0"/>
        <v>93</v>
      </c>
      <c r="D8" s="169">
        <v>5</v>
      </c>
      <c r="E8" s="169"/>
      <c r="F8" s="169"/>
      <c r="G8" s="169"/>
      <c r="H8" s="169"/>
      <c r="I8" s="169">
        <v>3</v>
      </c>
      <c r="J8" s="169"/>
      <c r="K8" s="169"/>
      <c r="L8" s="170">
        <v>10</v>
      </c>
      <c r="M8" s="169">
        <v>10</v>
      </c>
      <c r="N8" s="169">
        <v>5</v>
      </c>
      <c r="O8" s="298"/>
      <c r="P8" s="169"/>
      <c r="Q8" s="169">
        <v>3</v>
      </c>
      <c r="R8" s="169">
        <v>2</v>
      </c>
      <c r="S8" s="169">
        <v>8</v>
      </c>
      <c r="T8" s="169"/>
      <c r="U8" s="169">
        <v>3</v>
      </c>
      <c r="V8" s="169"/>
      <c r="W8" s="169">
        <v>5</v>
      </c>
      <c r="X8" s="463" t="s">
        <v>317</v>
      </c>
      <c r="Y8" s="169">
        <v>5</v>
      </c>
      <c r="Z8" s="169"/>
      <c r="AA8" s="169"/>
      <c r="AB8" s="169">
        <v>3</v>
      </c>
      <c r="AC8" s="463" t="s">
        <v>317</v>
      </c>
      <c r="AD8" s="169"/>
      <c r="AE8" s="298"/>
      <c r="AF8" s="169">
        <v>3</v>
      </c>
      <c r="AG8" s="169">
        <v>8</v>
      </c>
      <c r="AH8" s="169">
        <v>8</v>
      </c>
      <c r="AI8" s="298">
        <v>2</v>
      </c>
      <c r="AJ8" s="169">
        <v>4</v>
      </c>
      <c r="AK8" s="170">
        <v>6</v>
      </c>
      <c r="AL8" s="169"/>
      <c r="AM8" s="463" t="s">
        <v>317</v>
      </c>
      <c r="AN8" s="171">
        <f t="shared" si="1"/>
        <v>18</v>
      </c>
      <c r="AO8" s="171">
        <f t="shared" si="2"/>
        <v>2</v>
      </c>
      <c r="AP8" s="172">
        <f t="shared" si="3"/>
        <v>2</v>
      </c>
      <c r="AR8" s="40" t="str">
        <f t="shared" si="4"/>
        <v> </v>
      </c>
    </row>
    <row r="9" spans="2:44" ht="15.75">
      <c r="B9" s="13" t="s">
        <v>11</v>
      </c>
      <c r="C9" s="174">
        <f t="shared" si="0"/>
        <v>89</v>
      </c>
      <c r="D9" s="298"/>
      <c r="E9" s="298"/>
      <c r="F9" s="169"/>
      <c r="G9" s="169"/>
      <c r="H9" s="169">
        <v>6</v>
      </c>
      <c r="I9" s="169">
        <v>10</v>
      </c>
      <c r="J9" s="169"/>
      <c r="K9" s="169">
        <v>5</v>
      </c>
      <c r="L9" s="170">
        <v>4</v>
      </c>
      <c r="M9" s="169">
        <v>2</v>
      </c>
      <c r="N9" s="169"/>
      <c r="O9" s="169"/>
      <c r="P9" s="169"/>
      <c r="Q9" s="169">
        <v>10</v>
      </c>
      <c r="R9" s="169">
        <v>5</v>
      </c>
      <c r="S9" s="169">
        <v>10</v>
      </c>
      <c r="T9" s="169"/>
      <c r="U9" s="169"/>
      <c r="V9" s="169"/>
      <c r="W9" s="169">
        <v>10</v>
      </c>
      <c r="X9" s="169"/>
      <c r="Y9" s="169"/>
      <c r="Z9" s="169"/>
      <c r="AA9" s="169"/>
      <c r="AB9" s="169">
        <v>1</v>
      </c>
      <c r="AC9" s="169"/>
      <c r="AD9" s="169"/>
      <c r="AE9" s="169">
        <v>3</v>
      </c>
      <c r="AF9" s="169"/>
      <c r="AG9" s="169">
        <v>4</v>
      </c>
      <c r="AH9" s="169">
        <v>6</v>
      </c>
      <c r="AI9" s="169">
        <v>6</v>
      </c>
      <c r="AJ9" s="169"/>
      <c r="AK9" s="170"/>
      <c r="AL9" s="169">
        <v>4</v>
      </c>
      <c r="AM9" s="169">
        <v>3</v>
      </c>
      <c r="AN9" s="171">
        <f t="shared" si="1"/>
        <v>16</v>
      </c>
      <c r="AO9" s="171">
        <f t="shared" si="2"/>
        <v>1</v>
      </c>
      <c r="AP9" s="172">
        <f t="shared" si="3"/>
        <v>4</v>
      </c>
      <c r="AR9" s="40" t="str">
        <f t="shared" si="4"/>
        <v> </v>
      </c>
    </row>
    <row r="10" spans="2:44" ht="15.75">
      <c r="B10" s="13" t="s">
        <v>37</v>
      </c>
      <c r="C10" s="174">
        <f t="shared" si="0"/>
        <v>71</v>
      </c>
      <c r="D10" s="169"/>
      <c r="E10" s="169"/>
      <c r="F10" s="169"/>
      <c r="G10" s="169"/>
      <c r="H10" s="169"/>
      <c r="I10" s="169"/>
      <c r="J10" s="169"/>
      <c r="K10" s="169"/>
      <c r="L10" s="170"/>
      <c r="M10" s="169"/>
      <c r="N10" s="169">
        <v>10</v>
      </c>
      <c r="O10" s="169"/>
      <c r="P10" s="169"/>
      <c r="Q10" s="169">
        <v>6</v>
      </c>
      <c r="R10" s="169"/>
      <c r="S10" s="169"/>
      <c r="T10" s="169">
        <v>6</v>
      </c>
      <c r="U10" s="169">
        <v>8</v>
      </c>
      <c r="V10" s="169"/>
      <c r="W10" s="169">
        <v>1</v>
      </c>
      <c r="X10" s="169">
        <v>8</v>
      </c>
      <c r="Y10" s="169">
        <v>10</v>
      </c>
      <c r="Z10" s="169"/>
      <c r="AA10" s="169">
        <v>10</v>
      </c>
      <c r="AB10" s="169"/>
      <c r="AC10" s="169"/>
      <c r="AD10" s="169"/>
      <c r="AE10" s="169"/>
      <c r="AF10" s="169"/>
      <c r="AG10" s="169"/>
      <c r="AH10" s="169">
        <v>2</v>
      </c>
      <c r="AI10" s="169"/>
      <c r="AJ10" s="169"/>
      <c r="AK10" s="170"/>
      <c r="AL10" s="169"/>
      <c r="AM10" s="169">
        <v>10</v>
      </c>
      <c r="AN10" s="171">
        <f t="shared" si="1"/>
        <v>10</v>
      </c>
      <c r="AO10" s="171">
        <f t="shared" si="2"/>
        <v>1</v>
      </c>
      <c r="AP10" s="172">
        <f t="shared" si="3"/>
        <v>4</v>
      </c>
      <c r="AR10" s="40" t="str">
        <f t="shared" si="4"/>
        <v> </v>
      </c>
    </row>
    <row r="11" spans="2:44" ht="15.75">
      <c r="B11" s="13" t="s">
        <v>41</v>
      </c>
      <c r="C11" s="174">
        <f t="shared" si="0"/>
        <v>71</v>
      </c>
      <c r="D11" s="169"/>
      <c r="E11" s="169"/>
      <c r="F11" s="169"/>
      <c r="G11" s="169"/>
      <c r="H11" s="169">
        <v>5</v>
      </c>
      <c r="I11" s="169">
        <v>5</v>
      </c>
      <c r="J11" s="169"/>
      <c r="K11" s="169">
        <v>10</v>
      </c>
      <c r="L11" s="170"/>
      <c r="M11" s="169">
        <v>1</v>
      </c>
      <c r="N11" s="169"/>
      <c r="O11" s="169"/>
      <c r="P11" s="169">
        <v>10</v>
      </c>
      <c r="Q11" s="169"/>
      <c r="R11" s="169">
        <v>4</v>
      </c>
      <c r="S11" s="169"/>
      <c r="T11" s="169"/>
      <c r="U11" s="169"/>
      <c r="V11" s="169"/>
      <c r="W11" s="169"/>
      <c r="X11" s="169">
        <v>4</v>
      </c>
      <c r="Y11" s="298"/>
      <c r="Z11" s="169">
        <v>6</v>
      </c>
      <c r="AA11" s="169">
        <v>10</v>
      </c>
      <c r="AB11" s="169"/>
      <c r="AC11" s="169">
        <v>3</v>
      </c>
      <c r="AD11" s="169"/>
      <c r="AE11" s="169"/>
      <c r="AF11" s="169">
        <v>5</v>
      </c>
      <c r="AG11" s="169"/>
      <c r="AH11" s="463" t="s">
        <v>317</v>
      </c>
      <c r="AI11" s="169">
        <v>4</v>
      </c>
      <c r="AJ11" s="169"/>
      <c r="AK11" s="170">
        <v>4</v>
      </c>
      <c r="AL11" s="169"/>
      <c r="AM11" s="169"/>
      <c r="AN11" s="171">
        <f t="shared" si="1"/>
        <v>13</v>
      </c>
      <c r="AO11" s="171">
        <f t="shared" si="2"/>
        <v>1</v>
      </c>
      <c r="AP11" s="172">
        <f t="shared" si="3"/>
        <v>3</v>
      </c>
      <c r="AR11" s="40" t="str">
        <f t="shared" si="4"/>
        <v> </v>
      </c>
    </row>
    <row r="12" spans="2:44" ht="15.75">
      <c r="B12" s="13" t="s">
        <v>9</v>
      </c>
      <c r="C12" s="174">
        <f t="shared" si="0"/>
        <v>68</v>
      </c>
      <c r="D12" s="169">
        <v>2</v>
      </c>
      <c r="E12" s="169">
        <v>10</v>
      </c>
      <c r="F12" s="169"/>
      <c r="G12" s="169"/>
      <c r="H12" s="169"/>
      <c r="I12" s="169"/>
      <c r="J12" s="169">
        <v>5</v>
      </c>
      <c r="K12" s="169">
        <v>5</v>
      </c>
      <c r="L12" s="170"/>
      <c r="M12" s="169"/>
      <c r="N12" s="169"/>
      <c r="O12" s="169">
        <v>1</v>
      </c>
      <c r="P12" s="169">
        <v>1</v>
      </c>
      <c r="Q12" s="169">
        <v>5</v>
      </c>
      <c r="R12" s="169">
        <v>8</v>
      </c>
      <c r="S12" s="169">
        <v>2</v>
      </c>
      <c r="T12" s="169"/>
      <c r="U12" s="169"/>
      <c r="V12" s="169">
        <v>10</v>
      </c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>
        <v>3</v>
      </c>
      <c r="AH12" s="169"/>
      <c r="AI12" s="169"/>
      <c r="AJ12" s="169">
        <v>6</v>
      </c>
      <c r="AK12" s="170">
        <v>10</v>
      </c>
      <c r="AL12" s="169"/>
      <c r="AM12" s="169"/>
      <c r="AN12" s="171">
        <f t="shared" si="1"/>
        <v>13</v>
      </c>
      <c r="AO12" s="171">
        <f t="shared" si="2"/>
        <v>1</v>
      </c>
      <c r="AP12" s="172">
        <f t="shared" si="3"/>
        <v>3</v>
      </c>
      <c r="AR12" s="40" t="str">
        <f t="shared" si="4"/>
        <v> </v>
      </c>
    </row>
    <row r="13" spans="1:44" ht="15.75">
      <c r="A13" s="25"/>
      <c r="B13" s="13" t="s">
        <v>19</v>
      </c>
      <c r="C13" s="174">
        <f t="shared" si="0"/>
        <v>64</v>
      </c>
      <c r="D13" s="169">
        <v>3</v>
      </c>
      <c r="E13" s="169"/>
      <c r="F13" s="169"/>
      <c r="G13" s="169">
        <v>3</v>
      </c>
      <c r="H13" s="169">
        <v>2</v>
      </c>
      <c r="I13" s="169"/>
      <c r="J13" s="169"/>
      <c r="K13" s="169"/>
      <c r="L13" s="170"/>
      <c r="M13" s="169"/>
      <c r="N13" s="169"/>
      <c r="O13" s="169"/>
      <c r="P13" s="169"/>
      <c r="Q13" s="169">
        <v>1</v>
      </c>
      <c r="R13" s="169"/>
      <c r="S13" s="169">
        <v>6</v>
      </c>
      <c r="T13" s="169">
        <v>5</v>
      </c>
      <c r="U13" s="169"/>
      <c r="V13" s="169">
        <v>6</v>
      </c>
      <c r="W13" s="169">
        <v>8</v>
      </c>
      <c r="X13" s="169"/>
      <c r="Y13" s="169"/>
      <c r="Z13" s="169">
        <v>1</v>
      </c>
      <c r="AA13" s="169"/>
      <c r="AB13" s="169"/>
      <c r="AC13" s="169">
        <v>5</v>
      </c>
      <c r="AD13" s="169">
        <v>3</v>
      </c>
      <c r="AE13" s="169">
        <v>10</v>
      </c>
      <c r="AF13" s="169"/>
      <c r="AG13" s="169"/>
      <c r="AH13" s="169">
        <v>4</v>
      </c>
      <c r="AI13" s="169"/>
      <c r="AJ13" s="169">
        <v>2</v>
      </c>
      <c r="AK13" s="170"/>
      <c r="AL13" s="169">
        <v>5</v>
      </c>
      <c r="AM13" s="169"/>
      <c r="AN13" s="171">
        <f t="shared" si="1"/>
        <v>15</v>
      </c>
      <c r="AO13" s="171">
        <f t="shared" si="2"/>
        <v>1</v>
      </c>
      <c r="AP13" s="172">
        <f t="shared" si="3"/>
        <v>1</v>
      </c>
      <c r="AR13" s="40" t="str">
        <f t="shared" si="4"/>
        <v> </v>
      </c>
    </row>
    <row r="14" spans="1:44" s="25" customFormat="1" ht="15.75">
      <c r="A14" s="15"/>
      <c r="B14" s="13" t="s">
        <v>334</v>
      </c>
      <c r="C14" s="174">
        <f t="shared" si="0"/>
        <v>58</v>
      </c>
      <c r="D14" s="169">
        <v>6</v>
      </c>
      <c r="E14" s="169">
        <v>5</v>
      </c>
      <c r="F14" s="169">
        <v>5</v>
      </c>
      <c r="G14" s="169">
        <v>1</v>
      </c>
      <c r="H14" s="169">
        <v>10</v>
      </c>
      <c r="I14" s="169"/>
      <c r="J14" s="169"/>
      <c r="K14" s="169"/>
      <c r="L14" s="170"/>
      <c r="M14" s="169"/>
      <c r="N14" s="169"/>
      <c r="O14" s="169">
        <v>4</v>
      </c>
      <c r="P14" s="169"/>
      <c r="Q14" s="169"/>
      <c r="R14" s="169"/>
      <c r="S14" s="169"/>
      <c r="T14" s="169"/>
      <c r="U14" s="169"/>
      <c r="V14" s="169"/>
      <c r="W14" s="169"/>
      <c r="X14" s="169"/>
      <c r="Y14" s="169">
        <v>6</v>
      </c>
      <c r="Z14" s="169"/>
      <c r="AA14" s="169"/>
      <c r="AB14" s="169"/>
      <c r="AC14" s="169"/>
      <c r="AD14" s="169"/>
      <c r="AE14" s="169"/>
      <c r="AF14" s="169">
        <v>8</v>
      </c>
      <c r="AG14" s="169"/>
      <c r="AH14" s="169"/>
      <c r="AI14" s="169"/>
      <c r="AJ14" s="169">
        <v>5</v>
      </c>
      <c r="AK14" s="170">
        <v>8</v>
      </c>
      <c r="AL14" s="169"/>
      <c r="AM14" s="169"/>
      <c r="AN14" s="171">
        <f t="shared" si="1"/>
        <v>10</v>
      </c>
      <c r="AO14" s="171">
        <f t="shared" si="2"/>
        <v>1</v>
      </c>
      <c r="AP14" s="172">
        <f t="shared" si="3"/>
        <v>1</v>
      </c>
      <c r="AR14" s="40" t="str">
        <f t="shared" si="4"/>
        <v> </v>
      </c>
    </row>
    <row r="15" spans="2:44" ht="15.75">
      <c r="B15" s="13" t="s">
        <v>13</v>
      </c>
      <c r="C15" s="174">
        <f t="shared" si="0"/>
        <v>56</v>
      </c>
      <c r="D15" s="169">
        <v>1</v>
      </c>
      <c r="E15" s="169"/>
      <c r="F15" s="169">
        <v>1</v>
      </c>
      <c r="G15" s="169">
        <v>4</v>
      </c>
      <c r="H15" s="169"/>
      <c r="I15" s="169">
        <v>6</v>
      </c>
      <c r="J15" s="169"/>
      <c r="K15" s="169"/>
      <c r="L15" s="170">
        <v>1</v>
      </c>
      <c r="M15" s="169"/>
      <c r="N15" s="169"/>
      <c r="O15" s="169"/>
      <c r="P15" s="169"/>
      <c r="Q15" s="169">
        <v>8</v>
      </c>
      <c r="R15" s="169"/>
      <c r="S15" s="169"/>
      <c r="T15" s="169"/>
      <c r="U15" s="169"/>
      <c r="V15" s="169">
        <v>4</v>
      </c>
      <c r="W15" s="169"/>
      <c r="X15" s="169">
        <v>5</v>
      </c>
      <c r="Y15" s="169"/>
      <c r="Z15" s="169">
        <v>3</v>
      </c>
      <c r="AA15" s="169">
        <v>6</v>
      </c>
      <c r="AB15" s="169">
        <v>10</v>
      </c>
      <c r="AC15" s="169"/>
      <c r="AD15" s="169"/>
      <c r="AE15" s="169">
        <v>2</v>
      </c>
      <c r="AF15" s="169"/>
      <c r="AG15" s="169"/>
      <c r="AH15" s="169"/>
      <c r="AI15" s="169"/>
      <c r="AJ15" s="169"/>
      <c r="AK15" s="170"/>
      <c r="AL15" s="169"/>
      <c r="AM15" s="169">
        <v>5</v>
      </c>
      <c r="AN15" s="171">
        <f t="shared" si="1"/>
        <v>13</v>
      </c>
      <c r="AO15" s="171">
        <f t="shared" si="2"/>
        <v>1</v>
      </c>
      <c r="AP15" s="172">
        <f t="shared" si="3"/>
        <v>1</v>
      </c>
      <c r="AR15" s="40" t="str">
        <f t="shared" si="4"/>
        <v> </v>
      </c>
    </row>
    <row r="16" spans="1:44" s="25" customFormat="1" ht="15.75">
      <c r="A16" s="15"/>
      <c r="B16" s="13" t="s">
        <v>53</v>
      </c>
      <c r="C16" s="174">
        <f t="shared" si="0"/>
        <v>53</v>
      </c>
      <c r="D16" s="169"/>
      <c r="E16" s="169">
        <v>3</v>
      </c>
      <c r="F16" s="169">
        <v>2</v>
      </c>
      <c r="G16" s="169"/>
      <c r="H16" s="169"/>
      <c r="I16" s="169"/>
      <c r="J16" s="169"/>
      <c r="K16" s="169"/>
      <c r="L16" s="170">
        <v>2</v>
      </c>
      <c r="M16" s="169"/>
      <c r="N16" s="169">
        <v>8</v>
      </c>
      <c r="O16" s="169"/>
      <c r="P16" s="169"/>
      <c r="Q16" s="169"/>
      <c r="R16" s="169"/>
      <c r="S16" s="169"/>
      <c r="T16" s="169"/>
      <c r="U16" s="169">
        <v>6</v>
      </c>
      <c r="V16" s="169">
        <v>2</v>
      </c>
      <c r="W16" s="169"/>
      <c r="X16" s="169">
        <v>3</v>
      </c>
      <c r="Y16" s="169">
        <v>2</v>
      </c>
      <c r="Z16" s="169"/>
      <c r="AA16" s="169"/>
      <c r="AB16" s="169">
        <v>8</v>
      </c>
      <c r="AC16" s="169"/>
      <c r="AD16" s="169">
        <v>4</v>
      </c>
      <c r="AE16" s="169"/>
      <c r="AF16" s="169">
        <v>2</v>
      </c>
      <c r="AG16" s="169"/>
      <c r="AH16" s="169">
        <v>5</v>
      </c>
      <c r="AI16" s="169"/>
      <c r="AJ16" s="169"/>
      <c r="AK16" s="170"/>
      <c r="AL16" s="169"/>
      <c r="AM16" s="169">
        <v>6</v>
      </c>
      <c r="AN16" s="171">
        <f t="shared" si="1"/>
        <v>13</v>
      </c>
      <c r="AO16" s="171">
        <f t="shared" si="2"/>
        <v>2</v>
      </c>
      <c r="AP16" s="172">
        <f t="shared" si="3"/>
        <v>0</v>
      </c>
      <c r="AR16" s="40" t="str">
        <f t="shared" si="4"/>
        <v> </v>
      </c>
    </row>
    <row r="17" spans="2:44" ht="15.75">
      <c r="B17" s="13" t="s">
        <v>17</v>
      </c>
      <c r="C17" s="174">
        <f t="shared" si="0"/>
        <v>44</v>
      </c>
      <c r="D17" s="169"/>
      <c r="E17" s="169">
        <v>6</v>
      </c>
      <c r="F17" s="169"/>
      <c r="G17" s="169">
        <v>8</v>
      </c>
      <c r="H17" s="169"/>
      <c r="I17" s="169"/>
      <c r="J17" s="169"/>
      <c r="K17" s="169">
        <v>10</v>
      </c>
      <c r="L17" s="170"/>
      <c r="M17" s="169"/>
      <c r="N17" s="169"/>
      <c r="O17" s="169">
        <v>3</v>
      </c>
      <c r="P17" s="169"/>
      <c r="Q17" s="169">
        <v>2</v>
      </c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>
        <v>5</v>
      </c>
      <c r="AE17" s="169"/>
      <c r="AF17" s="169"/>
      <c r="AG17" s="169">
        <v>10</v>
      </c>
      <c r="AH17" s="169"/>
      <c r="AI17" s="169"/>
      <c r="AJ17" s="169"/>
      <c r="AK17" s="170"/>
      <c r="AL17" s="169"/>
      <c r="AM17" s="169"/>
      <c r="AN17" s="171">
        <f t="shared" si="1"/>
        <v>7</v>
      </c>
      <c r="AO17" s="171">
        <f t="shared" si="2"/>
        <v>2</v>
      </c>
      <c r="AP17" s="172">
        <f t="shared" si="3"/>
        <v>2</v>
      </c>
      <c r="AR17" s="40" t="str">
        <f t="shared" si="4"/>
        <v> </v>
      </c>
    </row>
    <row r="18" spans="2:44" ht="15.75">
      <c r="B18" s="13" t="s">
        <v>23</v>
      </c>
      <c r="C18" s="174">
        <f t="shared" si="0"/>
        <v>38</v>
      </c>
      <c r="D18" s="169"/>
      <c r="E18" s="169"/>
      <c r="F18" s="169"/>
      <c r="G18" s="169"/>
      <c r="H18" s="169"/>
      <c r="I18" s="169"/>
      <c r="J18" s="169">
        <v>4</v>
      </c>
      <c r="K18" s="169"/>
      <c r="L18" s="170">
        <v>5</v>
      </c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>
        <v>3</v>
      </c>
      <c r="X18" s="169"/>
      <c r="Y18" s="169"/>
      <c r="Z18" s="169">
        <v>4</v>
      </c>
      <c r="AA18" s="169">
        <v>2</v>
      </c>
      <c r="AB18" s="169">
        <v>4</v>
      </c>
      <c r="AC18" s="169">
        <v>10</v>
      </c>
      <c r="AD18" s="169"/>
      <c r="AE18" s="169"/>
      <c r="AF18" s="169">
        <v>6</v>
      </c>
      <c r="AG18" s="169"/>
      <c r="AH18" s="169"/>
      <c r="AI18" s="169"/>
      <c r="AJ18" s="169"/>
      <c r="AK18" s="170"/>
      <c r="AL18" s="169"/>
      <c r="AM18" s="169"/>
      <c r="AN18" s="171">
        <f t="shared" si="1"/>
        <v>8</v>
      </c>
      <c r="AO18" s="171">
        <f t="shared" si="2"/>
        <v>2</v>
      </c>
      <c r="AP18" s="172">
        <f t="shared" si="3"/>
        <v>1</v>
      </c>
      <c r="AR18" s="40" t="str">
        <f t="shared" si="4"/>
        <v> </v>
      </c>
    </row>
    <row r="19" spans="2:44" ht="15.75">
      <c r="B19" s="13" t="s">
        <v>33</v>
      </c>
      <c r="C19" s="174">
        <f t="shared" si="0"/>
        <v>35</v>
      </c>
      <c r="D19" s="298"/>
      <c r="E19" s="298">
        <v>1</v>
      </c>
      <c r="F19" s="169"/>
      <c r="G19" s="298"/>
      <c r="H19" s="169">
        <v>3</v>
      </c>
      <c r="I19" s="169"/>
      <c r="J19" s="169">
        <v>1</v>
      </c>
      <c r="K19" s="169"/>
      <c r="L19" s="170"/>
      <c r="M19" s="169"/>
      <c r="N19" s="169"/>
      <c r="O19" s="169">
        <v>2</v>
      </c>
      <c r="P19" s="169"/>
      <c r="Q19" s="169"/>
      <c r="R19" s="169"/>
      <c r="S19" s="169"/>
      <c r="T19" s="169"/>
      <c r="U19" s="169"/>
      <c r="V19" s="169">
        <v>4</v>
      </c>
      <c r="W19" s="169"/>
      <c r="X19" s="169"/>
      <c r="Y19" s="169"/>
      <c r="Z19" s="169"/>
      <c r="AA19" s="169"/>
      <c r="AB19" s="169">
        <v>2</v>
      </c>
      <c r="AC19" s="169"/>
      <c r="AD19" s="169">
        <v>6</v>
      </c>
      <c r="AE19" s="169"/>
      <c r="AF19" s="169"/>
      <c r="AG19" s="169"/>
      <c r="AH19" s="169">
        <v>10</v>
      </c>
      <c r="AI19" s="169"/>
      <c r="AJ19" s="169"/>
      <c r="AK19" s="170"/>
      <c r="AL19" s="169">
        <v>6</v>
      </c>
      <c r="AM19" s="169"/>
      <c r="AN19" s="171">
        <f t="shared" si="1"/>
        <v>9</v>
      </c>
      <c r="AO19" s="171">
        <f t="shared" si="2"/>
        <v>1</v>
      </c>
      <c r="AP19" s="172">
        <f t="shared" si="3"/>
        <v>1</v>
      </c>
      <c r="AR19" s="40" t="str">
        <f t="shared" si="4"/>
        <v> </v>
      </c>
    </row>
    <row r="20" spans="1:44" ht="15.75">
      <c r="A20" s="25"/>
      <c r="B20" s="13" t="s">
        <v>21</v>
      </c>
      <c r="C20" s="174">
        <f t="shared" si="0"/>
        <v>34</v>
      </c>
      <c r="D20" s="169">
        <v>4</v>
      </c>
      <c r="E20" s="169"/>
      <c r="F20" s="169"/>
      <c r="G20" s="169"/>
      <c r="H20" s="169"/>
      <c r="I20" s="169"/>
      <c r="J20" s="169"/>
      <c r="K20" s="169"/>
      <c r="L20" s="170"/>
      <c r="M20" s="169"/>
      <c r="N20" s="169">
        <v>6</v>
      </c>
      <c r="O20" s="169">
        <v>10</v>
      </c>
      <c r="P20" s="169">
        <v>3</v>
      </c>
      <c r="Q20" s="169"/>
      <c r="R20" s="169"/>
      <c r="S20" s="169"/>
      <c r="T20" s="169"/>
      <c r="U20" s="169">
        <v>2</v>
      </c>
      <c r="V20" s="169"/>
      <c r="W20" s="169">
        <v>2</v>
      </c>
      <c r="X20" s="169"/>
      <c r="Y20" s="169"/>
      <c r="Z20" s="169"/>
      <c r="AA20" s="169">
        <v>4</v>
      </c>
      <c r="AB20" s="169"/>
      <c r="AC20" s="169"/>
      <c r="AD20" s="169"/>
      <c r="AE20" s="169"/>
      <c r="AF20" s="169"/>
      <c r="AG20" s="169"/>
      <c r="AH20" s="169"/>
      <c r="AI20" s="169"/>
      <c r="AJ20" s="169">
        <v>3</v>
      </c>
      <c r="AK20" s="170"/>
      <c r="AL20" s="169"/>
      <c r="AM20" s="169"/>
      <c r="AN20" s="171">
        <f t="shared" si="1"/>
        <v>8</v>
      </c>
      <c r="AO20" s="171">
        <f t="shared" si="2"/>
        <v>2</v>
      </c>
      <c r="AP20" s="172">
        <f t="shared" si="3"/>
        <v>1</v>
      </c>
      <c r="AR20" s="40" t="str">
        <f t="shared" si="4"/>
        <v> </v>
      </c>
    </row>
    <row r="21" spans="2:44" ht="15.75">
      <c r="B21" s="13" t="s">
        <v>27</v>
      </c>
      <c r="C21" s="174">
        <f t="shared" si="0"/>
        <v>27</v>
      </c>
      <c r="D21" s="169"/>
      <c r="E21" s="169"/>
      <c r="F21" s="169"/>
      <c r="G21" s="169"/>
      <c r="H21" s="169"/>
      <c r="I21" s="169">
        <v>2</v>
      </c>
      <c r="J21" s="169"/>
      <c r="K21" s="169"/>
      <c r="L21" s="170"/>
      <c r="M21" s="169"/>
      <c r="N21" s="169">
        <v>3</v>
      </c>
      <c r="O21" s="169"/>
      <c r="P21" s="169"/>
      <c r="Q21" s="169"/>
      <c r="R21" s="169"/>
      <c r="S21" s="169"/>
      <c r="T21" s="169"/>
      <c r="U21" s="169">
        <v>1</v>
      </c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>
        <v>5</v>
      </c>
      <c r="AJ21" s="169"/>
      <c r="AK21" s="170"/>
      <c r="AL21" s="169">
        <v>8</v>
      </c>
      <c r="AM21" s="169">
        <v>8</v>
      </c>
      <c r="AN21" s="171">
        <f t="shared" si="1"/>
        <v>6</v>
      </c>
      <c r="AO21" s="171">
        <f t="shared" si="2"/>
        <v>1</v>
      </c>
      <c r="AP21" s="172">
        <f t="shared" si="3"/>
        <v>0</v>
      </c>
      <c r="AR21" s="40" t="str">
        <f t="shared" si="4"/>
        <v> </v>
      </c>
    </row>
    <row r="22" spans="2:44" ht="15.75">
      <c r="B22" s="13" t="s">
        <v>45</v>
      </c>
      <c r="C22" s="174">
        <f t="shared" si="0"/>
        <v>25</v>
      </c>
      <c r="D22" s="169"/>
      <c r="E22" s="169"/>
      <c r="F22" s="169"/>
      <c r="G22" s="169"/>
      <c r="H22" s="169">
        <v>4</v>
      </c>
      <c r="I22" s="169"/>
      <c r="J22" s="169"/>
      <c r="K22" s="169"/>
      <c r="L22" s="170"/>
      <c r="M22" s="169"/>
      <c r="N22" s="169">
        <v>4</v>
      </c>
      <c r="O22" s="169"/>
      <c r="P22" s="169"/>
      <c r="Q22" s="169"/>
      <c r="R22" s="169"/>
      <c r="S22" s="169"/>
      <c r="T22" s="169">
        <v>4</v>
      </c>
      <c r="U22" s="169">
        <v>4</v>
      </c>
      <c r="V22" s="169"/>
      <c r="W22" s="169"/>
      <c r="X22" s="169"/>
      <c r="Y22" s="169"/>
      <c r="Z22" s="169"/>
      <c r="AA22" s="169"/>
      <c r="AB22" s="169"/>
      <c r="AC22" s="169"/>
      <c r="AD22" s="169"/>
      <c r="AE22" s="169">
        <v>8</v>
      </c>
      <c r="AF22" s="169"/>
      <c r="AG22" s="169">
        <v>1</v>
      </c>
      <c r="AH22" s="169"/>
      <c r="AI22" s="169"/>
      <c r="AJ22" s="169"/>
      <c r="AK22" s="170"/>
      <c r="AL22" s="169"/>
      <c r="AM22" s="169"/>
      <c r="AN22" s="171">
        <f t="shared" si="1"/>
        <v>6</v>
      </c>
      <c r="AO22" s="171">
        <f t="shared" si="2"/>
        <v>1</v>
      </c>
      <c r="AP22" s="172">
        <f t="shared" si="3"/>
        <v>0</v>
      </c>
      <c r="AR22" s="40" t="str">
        <f t="shared" si="4"/>
        <v> </v>
      </c>
    </row>
    <row r="23" spans="2:44" ht="15.75">
      <c r="B23" s="13" t="s">
        <v>15</v>
      </c>
      <c r="C23" s="174">
        <f t="shared" si="0"/>
        <v>17</v>
      </c>
      <c r="D23" s="169"/>
      <c r="E23" s="169"/>
      <c r="F23" s="169"/>
      <c r="G23" s="169"/>
      <c r="H23" s="169"/>
      <c r="I23" s="169"/>
      <c r="J23" s="169"/>
      <c r="K23" s="169"/>
      <c r="L23" s="170"/>
      <c r="M23" s="169"/>
      <c r="N23" s="169"/>
      <c r="O23" s="169"/>
      <c r="P23" s="169">
        <v>8</v>
      </c>
      <c r="Q23" s="169"/>
      <c r="R23" s="169"/>
      <c r="S23" s="169"/>
      <c r="T23" s="169"/>
      <c r="U23" s="169"/>
      <c r="V23" s="169"/>
      <c r="W23" s="169"/>
      <c r="X23" s="169"/>
      <c r="Y23" s="169"/>
      <c r="Z23" s="169">
        <v>8</v>
      </c>
      <c r="AA23" s="169"/>
      <c r="AB23" s="169"/>
      <c r="AC23" s="169"/>
      <c r="AD23" s="169"/>
      <c r="AE23" s="169">
        <v>1</v>
      </c>
      <c r="AF23" s="169"/>
      <c r="AG23" s="169"/>
      <c r="AH23" s="169"/>
      <c r="AI23" s="169"/>
      <c r="AJ23" s="169"/>
      <c r="AK23" s="170"/>
      <c r="AL23" s="169"/>
      <c r="AM23" s="169"/>
      <c r="AN23" s="171">
        <f t="shared" si="1"/>
        <v>3</v>
      </c>
      <c r="AO23" s="171">
        <f t="shared" si="2"/>
        <v>1</v>
      </c>
      <c r="AP23" s="172">
        <f t="shared" si="3"/>
        <v>0</v>
      </c>
      <c r="AR23" s="40" t="str">
        <f t="shared" si="4"/>
        <v> </v>
      </c>
    </row>
    <row r="24" spans="2:44" ht="15.75">
      <c r="B24" s="13" t="s">
        <v>47</v>
      </c>
      <c r="C24" s="174">
        <f t="shared" si="0"/>
        <v>14</v>
      </c>
      <c r="D24" s="169"/>
      <c r="E24" s="169"/>
      <c r="F24" s="169"/>
      <c r="G24" s="169"/>
      <c r="H24" s="169"/>
      <c r="I24" s="169"/>
      <c r="J24" s="169"/>
      <c r="K24" s="169"/>
      <c r="L24" s="170"/>
      <c r="M24" s="169">
        <v>4</v>
      </c>
      <c r="N24" s="169"/>
      <c r="O24" s="169"/>
      <c r="P24" s="169">
        <v>6</v>
      </c>
      <c r="Q24" s="169"/>
      <c r="R24" s="169"/>
      <c r="S24" s="169"/>
      <c r="T24" s="169"/>
      <c r="U24" s="169"/>
      <c r="V24" s="169"/>
      <c r="W24" s="169"/>
      <c r="X24" s="169"/>
      <c r="Y24" s="169">
        <v>1</v>
      </c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70"/>
      <c r="AL24" s="169">
        <v>3</v>
      </c>
      <c r="AM24" s="169"/>
      <c r="AN24" s="171">
        <f t="shared" si="1"/>
        <v>4</v>
      </c>
      <c r="AO24" s="171">
        <f t="shared" si="2"/>
        <v>1</v>
      </c>
      <c r="AP24" s="172">
        <f t="shared" si="3"/>
        <v>0</v>
      </c>
      <c r="AR24" s="40" t="str">
        <f t="shared" si="4"/>
        <v> </v>
      </c>
    </row>
    <row r="25" spans="2:44" ht="15.75">
      <c r="B25" s="13" t="s">
        <v>51</v>
      </c>
      <c r="C25" s="174">
        <f t="shared" si="0"/>
        <v>10</v>
      </c>
      <c r="D25" s="169"/>
      <c r="E25" s="169"/>
      <c r="F25" s="169"/>
      <c r="G25" s="169"/>
      <c r="H25" s="169"/>
      <c r="I25" s="169"/>
      <c r="J25" s="169"/>
      <c r="K25" s="169"/>
      <c r="L25" s="170"/>
      <c r="M25" s="169"/>
      <c r="N25" s="169"/>
      <c r="O25" s="169"/>
      <c r="P25" s="169">
        <v>2</v>
      </c>
      <c r="Q25" s="169"/>
      <c r="R25" s="169">
        <v>6</v>
      </c>
      <c r="S25" s="169">
        <v>1</v>
      </c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>
        <v>1</v>
      </c>
      <c r="AK25" s="170"/>
      <c r="AL25" s="169"/>
      <c r="AM25" s="169"/>
      <c r="AN25" s="171">
        <f t="shared" si="1"/>
        <v>4</v>
      </c>
      <c r="AO25" s="171">
        <f t="shared" si="2"/>
        <v>1</v>
      </c>
      <c r="AP25" s="172">
        <f t="shared" si="3"/>
        <v>0</v>
      </c>
      <c r="AR25" s="40" t="str">
        <f t="shared" si="4"/>
        <v> </v>
      </c>
    </row>
    <row r="26" spans="2:44" ht="15.75">
      <c r="B26" s="13" t="s">
        <v>25</v>
      </c>
      <c r="C26" s="174">
        <f t="shared" si="0"/>
        <v>9</v>
      </c>
      <c r="D26" s="169"/>
      <c r="E26" s="169"/>
      <c r="F26" s="169">
        <v>3</v>
      </c>
      <c r="G26" s="169"/>
      <c r="H26" s="169"/>
      <c r="I26" s="169"/>
      <c r="J26" s="169"/>
      <c r="K26" s="169"/>
      <c r="L26" s="170"/>
      <c r="M26" s="169"/>
      <c r="N26" s="169"/>
      <c r="O26" s="169"/>
      <c r="P26" s="169">
        <v>4</v>
      </c>
      <c r="Q26" s="169"/>
      <c r="R26" s="169"/>
      <c r="S26" s="169"/>
      <c r="T26" s="169">
        <v>2</v>
      </c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70"/>
      <c r="AL26" s="169"/>
      <c r="AM26" s="169"/>
      <c r="AN26" s="171">
        <f t="shared" si="1"/>
        <v>3</v>
      </c>
      <c r="AO26" s="171">
        <f t="shared" si="2"/>
        <v>2</v>
      </c>
      <c r="AP26" s="172">
        <f t="shared" si="3"/>
        <v>0</v>
      </c>
      <c r="AR26" s="40" t="str">
        <f t="shared" si="4"/>
        <v> </v>
      </c>
    </row>
    <row r="27" spans="2:42" s="37" customFormat="1" ht="16.5" customHeight="1">
      <c r="B27" s="249"/>
      <c r="C27" s="250"/>
      <c r="D27" s="251">
        <f aca="true" t="shared" si="5" ref="D27:AM27">SUM(D3:D26)</f>
        <v>39</v>
      </c>
      <c r="E27" s="251">
        <f t="shared" si="5"/>
        <v>37</v>
      </c>
      <c r="F27" s="251">
        <f t="shared" si="5"/>
        <v>39</v>
      </c>
      <c r="G27" s="251">
        <f t="shared" si="5"/>
        <v>39</v>
      </c>
      <c r="H27" s="251">
        <f t="shared" si="5"/>
        <v>38</v>
      </c>
      <c r="I27" s="251">
        <f t="shared" si="5"/>
        <v>38</v>
      </c>
      <c r="J27" s="251">
        <f t="shared" si="5"/>
        <v>37</v>
      </c>
      <c r="K27" s="251">
        <f t="shared" si="5"/>
        <v>50</v>
      </c>
      <c r="L27" s="251">
        <f t="shared" si="5"/>
        <v>39</v>
      </c>
      <c r="M27" s="251">
        <f t="shared" si="5"/>
        <v>36</v>
      </c>
      <c r="N27" s="251">
        <f t="shared" si="5"/>
        <v>38</v>
      </c>
      <c r="O27" s="251">
        <f t="shared" si="5"/>
        <v>39</v>
      </c>
      <c r="P27" s="251">
        <f t="shared" si="5"/>
        <v>39</v>
      </c>
      <c r="Q27" s="251">
        <f t="shared" si="5"/>
        <v>39</v>
      </c>
      <c r="R27" s="251">
        <f t="shared" si="5"/>
        <v>39</v>
      </c>
      <c r="S27" s="251">
        <f t="shared" si="5"/>
        <v>39</v>
      </c>
      <c r="T27" s="251">
        <f t="shared" si="5"/>
        <v>39</v>
      </c>
      <c r="U27" s="251">
        <f t="shared" si="5"/>
        <v>39</v>
      </c>
      <c r="V27" s="251">
        <f t="shared" si="5"/>
        <v>42</v>
      </c>
      <c r="W27" s="251">
        <f t="shared" si="5"/>
        <v>39</v>
      </c>
      <c r="X27" s="251">
        <f t="shared" si="5"/>
        <v>36</v>
      </c>
      <c r="Y27" s="251">
        <f t="shared" si="5"/>
        <v>39</v>
      </c>
      <c r="Z27" s="251">
        <f t="shared" si="5"/>
        <v>39</v>
      </c>
      <c r="AA27" s="251">
        <f t="shared" si="5"/>
        <v>42</v>
      </c>
      <c r="AB27" s="251">
        <f t="shared" si="5"/>
        <v>39</v>
      </c>
      <c r="AC27" s="251">
        <f t="shared" si="5"/>
        <v>36</v>
      </c>
      <c r="AD27" s="251">
        <f t="shared" si="5"/>
        <v>37</v>
      </c>
      <c r="AE27" s="251">
        <f t="shared" si="5"/>
        <v>39</v>
      </c>
      <c r="AF27" s="251">
        <f t="shared" si="5"/>
        <v>39</v>
      </c>
      <c r="AG27" s="251">
        <f t="shared" si="5"/>
        <v>37</v>
      </c>
      <c r="AH27" s="251">
        <f t="shared" si="5"/>
        <v>38</v>
      </c>
      <c r="AI27" s="251">
        <f t="shared" si="5"/>
        <v>38</v>
      </c>
      <c r="AJ27" s="251">
        <f t="shared" si="5"/>
        <v>39</v>
      </c>
      <c r="AK27" s="251">
        <f t="shared" si="5"/>
        <v>38</v>
      </c>
      <c r="AL27" s="251">
        <f t="shared" si="5"/>
        <v>39</v>
      </c>
      <c r="AM27" s="251">
        <f t="shared" si="5"/>
        <v>36</v>
      </c>
      <c r="AN27" s="250"/>
      <c r="AO27" s="250"/>
      <c r="AP27" s="252"/>
    </row>
    <row r="28" spans="2:42" ht="15.75">
      <c r="B28" s="308" t="s">
        <v>255</v>
      </c>
      <c r="C28" s="309"/>
      <c r="D28" s="309"/>
      <c r="E28" s="309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10"/>
      <c r="AO28" s="310"/>
      <c r="AP28" s="311">
        <f>SUM(AP3:AP27)</f>
        <v>40</v>
      </c>
    </row>
    <row r="29" spans="3:5" ht="15.75">
      <c r="C29" s="15"/>
      <c r="D29" s="15"/>
      <c r="E29" s="15"/>
    </row>
    <row r="30" spans="3:5" ht="15.75">
      <c r="C30" s="38"/>
      <c r="D30" s="38"/>
      <c r="E30" s="38"/>
    </row>
  </sheetData>
  <sheetProtection selectLockedCells="1" selectUnlockedCells="1"/>
  <autoFilter ref="B2:AP2">
    <sortState ref="B3:AP30">
      <sortCondition descending="1" sortBy="value" ref="C3:C30"/>
    </sortState>
  </autoFilter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9.140625" style="221" customWidth="1"/>
    <col min="17" max="16384" width="9.140625" style="8" customWidth="1"/>
  </cols>
  <sheetData>
    <row r="1" spans="2:16" s="88" customFormat="1" ht="43.5" customHeight="1">
      <c r="B1" s="480" t="s">
        <v>129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P1" s="218"/>
    </row>
    <row r="2" spans="2:16" s="88" customFormat="1" ht="29.25" customHeight="1">
      <c r="B2" s="490" t="s">
        <v>219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P2" s="218"/>
    </row>
    <row r="3" spans="1:16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  <c r="P3" s="219"/>
    </row>
    <row r="4" spans="1:16" s="113" customFormat="1" ht="18" customHeight="1">
      <c r="A4" s="196" t="s">
        <v>28</v>
      </c>
      <c r="B4" s="307">
        <v>11.3</v>
      </c>
      <c r="C4" s="104">
        <v>37</v>
      </c>
      <c r="D4" s="105">
        <v>36</v>
      </c>
      <c r="E4" s="106"/>
      <c r="F4" s="104">
        <v>1</v>
      </c>
      <c r="G4" s="104">
        <v>10</v>
      </c>
      <c r="H4" s="107">
        <f>N4+I4</f>
        <v>1550000</v>
      </c>
      <c r="I4" s="108">
        <f>IF(E4&gt;0,$N$13,0)+IF(C4&gt;0,50000,0)+IF(C4&lt;0,50000,0)</f>
        <v>50000</v>
      </c>
      <c r="J4" s="109" t="s">
        <v>88</v>
      </c>
      <c r="K4" s="110"/>
      <c r="L4" s="111"/>
      <c r="M4" s="112">
        <v>10</v>
      </c>
      <c r="N4" s="107">
        <f>N12*25%</f>
        <v>1500000</v>
      </c>
      <c r="P4" s="220"/>
    </row>
    <row r="5" spans="1:16" s="113" customFormat="1" ht="18" customHeight="1">
      <c r="A5" s="196" t="s">
        <v>34</v>
      </c>
      <c r="B5" s="307">
        <v>13.9</v>
      </c>
      <c r="C5" s="104">
        <v>37</v>
      </c>
      <c r="D5" s="105">
        <v>33</v>
      </c>
      <c r="E5" s="106"/>
      <c r="F5" s="104">
        <v>2</v>
      </c>
      <c r="G5" s="104">
        <v>8</v>
      </c>
      <c r="H5" s="107">
        <f aca="true" t="shared" si="0" ref="H5:H11">N5+I5</f>
        <v>1250000</v>
      </c>
      <c r="I5" s="108">
        <f aca="true" t="shared" si="1" ref="I5:I27">IF(E5&gt;0,$N$13,0)+IF(C5&gt;0,50000,0)+IF(C5&lt;0,50000,0)</f>
        <v>50000</v>
      </c>
      <c r="J5" s="114" t="s">
        <v>89</v>
      </c>
      <c r="K5" s="115"/>
      <c r="L5" s="116"/>
      <c r="M5" s="117">
        <v>8</v>
      </c>
      <c r="N5" s="107">
        <f>N12*20%</f>
        <v>1200000</v>
      </c>
      <c r="P5" s="220"/>
    </row>
    <row r="6" spans="1:16" s="113" customFormat="1" ht="18" customHeight="1">
      <c r="A6" s="196" t="s">
        <v>8</v>
      </c>
      <c r="B6" s="307">
        <v>23</v>
      </c>
      <c r="C6" s="104">
        <v>35</v>
      </c>
      <c r="D6" s="105">
        <v>42</v>
      </c>
      <c r="E6" s="106"/>
      <c r="F6" s="12">
        <v>3</v>
      </c>
      <c r="G6" s="12">
        <v>6</v>
      </c>
      <c r="H6" s="107">
        <f>N6+50000+100000</f>
        <v>1050000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900000</v>
      </c>
      <c r="P6" s="220"/>
    </row>
    <row r="7" spans="1:18" s="113" customFormat="1" ht="18" customHeight="1">
      <c r="A7" s="196" t="s">
        <v>333</v>
      </c>
      <c r="B7" s="307">
        <v>11.7</v>
      </c>
      <c r="C7" s="104">
        <v>33</v>
      </c>
      <c r="D7" s="124">
        <v>35</v>
      </c>
      <c r="E7" s="12"/>
      <c r="F7" s="104">
        <v>4</v>
      </c>
      <c r="G7" s="104">
        <v>5</v>
      </c>
      <c r="H7" s="107">
        <f>N7+50000+100000</f>
        <v>870000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720000</v>
      </c>
      <c r="O7" s="118"/>
      <c r="P7" s="220"/>
      <c r="Q7" s="118"/>
      <c r="R7" s="119"/>
    </row>
    <row r="8" spans="1:16" s="113" customFormat="1" ht="18" customHeight="1">
      <c r="A8" s="196" t="s">
        <v>30</v>
      </c>
      <c r="B8" s="307">
        <v>11.9</v>
      </c>
      <c r="C8" s="104">
        <v>31</v>
      </c>
      <c r="D8" s="105">
        <v>32</v>
      </c>
      <c r="E8" s="106"/>
      <c r="F8" s="104">
        <v>5</v>
      </c>
      <c r="G8" s="104">
        <v>4</v>
      </c>
      <c r="H8" s="107">
        <f t="shared" si="0"/>
        <v>650000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600000</v>
      </c>
      <c r="P8" s="220"/>
    </row>
    <row r="9" spans="1:16" s="113" customFormat="1" ht="18" customHeight="1">
      <c r="A9" s="196" t="s">
        <v>20</v>
      </c>
      <c r="B9" s="307">
        <v>17.8</v>
      </c>
      <c r="C9" s="105">
        <v>30</v>
      </c>
      <c r="D9" s="105">
        <v>39</v>
      </c>
      <c r="E9" s="106"/>
      <c r="F9" s="121">
        <v>6</v>
      </c>
      <c r="G9" s="121">
        <v>3</v>
      </c>
      <c r="H9" s="107">
        <f t="shared" si="0"/>
        <v>530000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480000</v>
      </c>
      <c r="P9" s="220"/>
    </row>
    <row r="10" spans="1:16" s="113" customFormat="1" ht="18" customHeight="1">
      <c r="A10" s="196" t="s">
        <v>18</v>
      </c>
      <c r="B10" s="307">
        <v>14.3</v>
      </c>
      <c r="C10" s="105">
        <v>29</v>
      </c>
      <c r="D10" s="124">
        <v>33</v>
      </c>
      <c r="E10" s="106"/>
      <c r="F10" s="104">
        <v>7</v>
      </c>
      <c r="G10" s="104">
        <v>2</v>
      </c>
      <c r="H10" s="107">
        <f t="shared" si="0"/>
        <v>410000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360000</v>
      </c>
      <c r="P10" s="220"/>
    </row>
    <row r="11" spans="1:16" s="113" customFormat="1" ht="18" customHeight="1">
      <c r="A11" s="196" t="s">
        <v>50</v>
      </c>
      <c r="B11" s="307">
        <v>23.1</v>
      </c>
      <c r="C11" s="104">
        <v>29</v>
      </c>
      <c r="D11" s="124">
        <v>42</v>
      </c>
      <c r="E11" s="12"/>
      <c r="F11" s="104">
        <v>8</v>
      </c>
      <c r="G11" s="104">
        <v>1</v>
      </c>
      <c r="H11" s="107">
        <f t="shared" si="0"/>
        <v>290000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240000</v>
      </c>
      <c r="P11" s="220"/>
    </row>
    <row r="12" spans="1:16" s="113" customFormat="1" ht="18" customHeight="1">
      <c r="A12" s="196" t="s">
        <v>42</v>
      </c>
      <c r="B12" s="307">
        <v>18.1</v>
      </c>
      <c r="C12" s="105">
        <v>28</v>
      </c>
      <c r="D12" s="124">
        <v>38</v>
      </c>
      <c r="E12" s="106"/>
      <c r="F12" s="104"/>
      <c r="G12" s="104"/>
      <c r="H12" s="107">
        <f>I12</f>
        <v>50000</v>
      </c>
      <c r="I12" s="108">
        <f t="shared" si="1"/>
        <v>50000</v>
      </c>
      <c r="J12" s="122" t="s">
        <v>96</v>
      </c>
      <c r="K12" s="115"/>
      <c r="L12" s="116"/>
      <c r="M12" s="117"/>
      <c r="N12" s="123">
        <v>6000000</v>
      </c>
      <c r="P12" s="220"/>
    </row>
    <row r="13" spans="1:16" s="113" customFormat="1" ht="18" customHeight="1">
      <c r="A13" s="196" t="s">
        <v>16</v>
      </c>
      <c r="B13" s="307">
        <v>18.8</v>
      </c>
      <c r="C13" s="104">
        <v>26</v>
      </c>
      <c r="D13" s="124">
        <v>36</v>
      </c>
      <c r="E13" s="106"/>
      <c r="F13" s="104"/>
      <c r="G13" s="104"/>
      <c r="H13" s="107">
        <f aca="true" t="shared" si="2" ref="H13:H27">I13</f>
        <v>50000</v>
      </c>
      <c r="I13" s="108">
        <f t="shared" si="1"/>
        <v>50000</v>
      </c>
      <c r="J13" s="125" t="s">
        <v>97</v>
      </c>
      <c r="K13" s="126"/>
      <c r="L13" s="127"/>
      <c r="M13" s="128">
        <v>1</v>
      </c>
      <c r="N13" s="129">
        <f>N10</f>
        <v>360000</v>
      </c>
      <c r="P13" s="220"/>
    </row>
    <row r="14" spans="1:16" s="113" customFormat="1" ht="18" customHeight="1">
      <c r="A14" s="196" t="s">
        <v>38</v>
      </c>
      <c r="B14" s="307">
        <v>14.3</v>
      </c>
      <c r="C14" s="124">
        <v>25</v>
      </c>
      <c r="D14" s="105">
        <v>38</v>
      </c>
      <c r="E14" s="106"/>
      <c r="F14" s="104"/>
      <c r="G14" s="104"/>
      <c r="H14" s="107">
        <f t="shared" si="2"/>
        <v>50000</v>
      </c>
      <c r="I14" s="108">
        <f t="shared" si="1"/>
        <v>50000</v>
      </c>
      <c r="J14" s="130"/>
      <c r="K14" s="126"/>
      <c r="L14" s="126"/>
      <c r="M14" s="131"/>
      <c r="N14" s="132"/>
      <c r="P14" s="220"/>
    </row>
    <row r="15" spans="1:16" s="113" customFormat="1" ht="18" customHeight="1">
      <c r="A15" s="196" t="s">
        <v>46</v>
      </c>
      <c r="B15" s="307">
        <v>18.2</v>
      </c>
      <c r="C15" s="105">
        <v>23</v>
      </c>
      <c r="D15" s="124">
        <v>41</v>
      </c>
      <c r="E15" s="106"/>
      <c r="F15" s="104"/>
      <c r="G15" s="104"/>
      <c r="H15" s="107">
        <f t="shared" si="2"/>
        <v>50000</v>
      </c>
      <c r="I15" s="108">
        <f t="shared" si="1"/>
        <v>50000</v>
      </c>
      <c r="J15" s="133"/>
      <c r="K15" s="134"/>
      <c r="L15" s="134"/>
      <c r="M15" s="135"/>
      <c r="N15" s="136"/>
      <c r="P15" s="220"/>
    </row>
    <row r="16" spans="1:16" s="113" customFormat="1" ht="18" customHeight="1">
      <c r="A16" s="196" t="s">
        <v>10</v>
      </c>
      <c r="B16" s="307">
        <v>15.1</v>
      </c>
      <c r="C16" s="12">
        <v>22</v>
      </c>
      <c r="D16" s="105">
        <v>42</v>
      </c>
      <c r="E16" s="124"/>
      <c r="F16" s="12"/>
      <c r="G16" s="12"/>
      <c r="H16" s="107">
        <f t="shared" si="2"/>
        <v>50000</v>
      </c>
      <c r="I16" s="108">
        <f t="shared" si="1"/>
        <v>50000</v>
      </c>
      <c r="P16" s="220"/>
    </row>
    <row r="17" spans="1:18" s="113" customFormat="1" ht="18" customHeight="1">
      <c r="A17" s="196"/>
      <c r="B17" s="307"/>
      <c r="C17" s="12"/>
      <c r="D17" s="124"/>
      <c r="E17" s="12"/>
      <c r="F17" s="12"/>
      <c r="G17" s="12"/>
      <c r="H17" s="107">
        <f t="shared" si="2"/>
        <v>0</v>
      </c>
      <c r="I17" s="108">
        <f t="shared" si="1"/>
        <v>0</v>
      </c>
      <c r="O17" s="118"/>
      <c r="P17" s="220"/>
      <c r="Q17" s="118"/>
      <c r="R17" s="119"/>
    </row>
    <row r="18" spans="1:16" s="113" customFormat="1" ht="18" customHeight="1">
      <c r="A18" s="196"/>
      <c r="B18" s="307"/>
      <c r="C18" s="104"/>
      <c r="D18" s="105"/>
      <c r="E18" s="106"/>
      <c r="F18" s="104"/>
      <c r="G18" s="104"/>
      <c r="H18" s="107">
        <f t="shared" si="2"/>
        <v>0</v>
      </c>
      <c r="I18" s="108">
        <f t="shared" si="1"/>
        <v>0</v>
      </c>
      <c r="J18" s="119"/>
      <c r="K18" s="119"/>
      <c r="L18" s="119"/>
      <c r="M18" s="119"/>
      <c r="P18" s="220"/>
    </row>
    <row r="19" spans="1:16" s="113" customFormat="1" ht="18" customHeight="1">
      <c r="A19" s="196"/>
      <c r="B19" s="307"/>
      <c r="C19" s="104"/>
      <c r="D19" s="124"/>
      <c r="E19" s="106"/>
      <c r="F19" s="104"/>
      <c r="G19" s="104"/>
      <c r="H19" s="107">
        <f t="shared" si="2"/>
        <v>0</v>
      </c>
      <c r="I19" s="108">
        <f t="shared" si="1"/>
        <v>0</v>
      </c>
      <c r="J19" s="119"/>
      <c r="K19" s="119"/>
      <c r="L19" s="119"/>
      <c r="M19" s="119"/>
      <c r="P19" s="220"/>
    </row>
    <row r="20" spans="1:16" s="88" customFormat="1" ht="18" customHeight="1">
      <c r="A20" s="196"/>
      <c r="B20" s="307"/>
      <c r="C20" s="105"/>
      <c r="D20" s="105"/>
      <c r="E20" s="106"/>
      <c r="F20" s="12"/>
      <c r="G20" s="12"/>
      <c r="H20" s="107">
        <f t="shared" si="2"/>
        <v>0</v>
      </c>
      <c r="I20" s="108">
        <f t="shared" si="1"/>
        <v>0</v>
      </c>
      <c r="P20" s="220"/>
    </row>
    <row r="21" spans="1:16" s="88" customFormat="1" ht="18" customHeight="1">
      <c r="A21" s="196"/>
      <c r="B21" s="307"/>
      <c r="C21" s="104"/>
      <c r="D21" s="105"/>
      <c r="E21" s="106"/>
      <c r="F21" s="12"/>
      <c r="G21" s="12"/>
      <c r="H21" s="107">
        <f t="shared" si="2"/>
        <v>0</v>
      </c>
      <c r="I21" s="108">
        <f t="shared" si="1"/>
        <v>0</v>
      </c>
      <c r="P21" s="220"/>
    </row>
    <row r="22" spans="1:16" s="88" customFormat="1" ht="18" customHeight="1">
      <c r="A22" s="196"/>
      <c r="B22" s="307"/>
      <c r="C22" s="104"/>
      <c r="D22" s="105"/>
      <c r="E22" s="12"/>
      <c r="F22" s="12"/>
      <c r="G22" s="12"/>
      <c r="H22" s="107">
        <f t="shared" si="2"/>
        <v>0</v>
      </c>
      <c r="I22" s="108">
        <f t="shared" si="1"/>
        <v>0</v>
      </c>
      <c r="P22" s="220"/>
    </row>
    <row r="23" spans="1:16" s="88" customFormat="1" ht="18" customHeight="1">
      <c r="A23" s="196"/>
      <c r="B23" s="307"/>
      <c r="C23" s="105"/>
      <c r="D23" s="105"/>
      <c r="E23" s="12"/>
      <c r="F23" s="12"/>
      <c r="G23" s="12"/>
      <c r="H23" s="107">
        <f t="shared" si="2"/>
        <v>0</v>
      </c>
      <c r="I23" s="108">
        <f t="shared" si="1"/>
        <v>0</v>
      </c>
      <c r="P23" s="220"/>
    </row>
    <row r="24" spans="1:16" s="88" customFormat="1" ht="18" customHeight="1">
      <c r="A24" s="196"/>
      <c r="B24" s="307"/>
      <c r="C24" s="104"/>
      <c r="D24" s="105"/>
      <c r="E24" s="12"/>
      <c r="F24" s="12"/>
      <c r="G24" s="12"/>
      <c r="H24" s="107">
        <f t="shared" si="2"/>
        <v>0</v>
      </c>
      <c r="I24" s="108">
        <f t="shared" si="1"/>
        <v>0</v>
      </c>
      <c r="P24" s="220"/>
    </row>
    <row r="25" spans="1:16" s="88" customFormat="1" ht="18" customHeight="1">
      <c r="A25" s="196"/>
      <c r="B25" s="307"/>
      <c r="C25" s="104"/>
      <c r="D25" s="105"/>
      <c r="E25" s="12"/>
      <c r="F25" s="12"/>
      <c r="G25" s="12"/>
      <c r="H25" s="107">
        <f t="shared" si="2"/>
        <v>0</v>
      </c>
      <c r="I25" s="108">
        <f t="shared" si="1"/>
        <v>0</v>
      </c>
      <c r="P25" s="220"/>
    </row>
    <row r="26" spans="1:16" s="88" customFormat="1" ht="18" customHeight="1">
      <c r="A26" s="196"/>
      <c r="B26" s="307"/>
      <c r="C26" s="104"/>
      <c r="D26" s="105"/>
      <c r="E26" s="12"/>
      <c r="F26" s="104"/>
      <c r="G26" s="104"/>
      <c r="H26" s="107">
        <f t="shared" si="2"/>
        <v>0</v>
      </c>
      <c r="I26" s="108">
        <f t="shared" si="1"/>
        <v>0</v>
      </c>
      <c r="P26" s="220"/>
    </row>
    <row r="27" spans="1:16" s="88" customFormat="1" ht="18" customHeight="1">
      <c r="A27" s="196"/>
      <c r="B27" s="307"/>
      <c r="C27" s="104"/>
      <c r="D27" s="235"/>
      <c r="E27" s="106"/>
      <c r="F27" s="104"/>
      <c r="G27" s="104"/>
      <c r="H27" s="107">
        <f t="shared" si="2"/>
        <v>0</v>
      </c>
      <c r="I27" s="108">
        <f t="shared" si="1"/>
        <v>0</v>
      </c>
      <c r="P27" s="220"/>
    </row>
    <row r="28" spans="3:9" ht="24" customHeight="1" thickBot="1">
      <c r="C28" s="138"/>
      <c r="D28" s="236">
        <f>SUM(D4:D27)</f>
        <v>487</v>
      </c>
      <c r="E28" s="138"/>
      <c r="F28" s="3"/>
      <c r="G28" s="140">
        <f>SUM(G4:G27)</f>
        <v>39</v>
      </c>
      <c r="H28" s="140">
        <f>SUM(H4:H27)</f>
        <v>6850000</v>
      </c>
      <c r="I28" s="141"/>
    </row>
    <row r="29" ht="18.75" thickTop="1"/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ignoredErrors>
    <ignoredError sqref="H6" formula="1"/>
  </ignoredError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9.140625" style="221" customWidth="1"/>
    <col min="17" max="16384" width="9.140625" style="8" customWidth="1"/>
  </cols>
  <sheetData>
    <row r="1" spans="2:16" s="88" customFormat="1" ht="43.5" customHeight="1">
      <c r="B1" s="480" t="s">
        <v>128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P1" s="218"/>
    </row>
    <row r="2" spans="2:16" s="88" customFormat="1" ht="29.25" customHeight="1">
      <c r="B2" s="490" t="s">
        <v>218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P2" s="218"/>
    </row>
    <row r="3" spans="1:16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  <c r="P3" s="219"/>
    </row>
    <row r="4" spans="1:16" s="113" customFormat="1" ht="18" customHeight="1">
      <c r="A4" s="196" t="s">
        <v>8</v>
      </c>
      <c r="B4" s="307">
        <v>23</v>
      </c>
      <c r="C4" s="104">
        <v>40</v>
      </c>
      <c r="D4" s="105"/>
      <c r="E4" s="106"/>
      <c r="F4" s="104">
        <v>1</v>
      </c>
      <c r="G4" s="104">
        <v>10</v>
      </c>
      <c r="H4" s="107">
        <f>N4+I4</f>
        <v>1300000</v>
      </c>
      <c r="I4" s="108">
        <f>IF(E4&gt;0,$N$13,0)+IF(C4&gt;0,50000,0)+IF(C4&lt;0,50000,0)</f>
        <v>50000</v>
      </c>
      <c r="J4" s="109" t="s">
        <v>88</v>
      </c>
      <c r="K4" s="110"/>
      <c r="L4" s="111"/>
      <c r="M4" s="112">
        <v>10</v>
      </c>
      <c r="N4" s="107">
        <f>N12*25%</f>
        <v>1250000</v>
      </c>
      <c r="P4" s="220"/>
    </row>
    <row r="5" spans="1:16" s="113" customFormat="1" ht="18" customHeight="1">
      <c r="A5" s="196" t="s">
        <v>333</v>
      </c>
      <c r="B5" s="307">
        <v>11.7</v>
      </c>
      <c r="C5" s="104">
        <v>38</v>
      </c>
      <c r="D5" s="105"/>
      <c r="E5" s="106"/>
      <c r="F5" s="104">
        <v>2</v>
      </c>
      <c r="G5" s="104">
        <v>8</v>
      </c>
      <c r="H5" s="107">
        <f aca="true" t="shared" si="0" ref="H5:H11">N5+I5</f>
        <v>1050000</v>
      </c>
      <c r="I5" s="108">
        <f aca="true" t="shared" si="1" ref="I5:I27">IF(E5&gt;0,$N$13,0)+IF(C5&gt;0,50000,0)+IF(C5&lt;0,50000,0)</f>
        <v>50000</v>
      </c>
      <c r="J5" s="114" t="s">
        <v>89</v>
      </c>
      <c r="K5" s="115"/>
      <c r="L5" s="116"/>
      <c r="M5" s="117">
        <v>8</v>
      </c>
      <c r="N5" s="107">
        <f>N12*20%</f>
        <v>1000000</v>
      </c>
      <c r="P5" s="220"/>
    </row>
    <row r="6" spans="1:16" s="113" customFormat="1" ht="18" customHeight="1">
      <c r="A6" s="196" t="s">
        <v>30</v>
      </c>
      <c r="B6" s="307">
        <v>11.9</v>
      </c>
      <c r="C6" s="105">
        <v>35</v>
      </c>
      <c r="D6" s="105"/>
      <c r="E6" s="106"/>
      <c r="F6" s="12">
        <v>3</v>
      </c>
      <c r="G6" s="12">
        <v>6</v>
      </c>
      <c r="H6" s="107">
        <f t="shared" si="0"/>
        <v>800000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750000</v>
      </c>
      <c r="P6" s="220"/>
    </row>
    <row r="7" spans="1:18" s="113" customFormat="1" ht="18" customHeight="1">
      <c r="A7" s="196" t="s">
        <v>38</v>
      </c>
      <c r="B7" s="307">
        <v>14.3</v>
      </c>
      <c r="C7" s="105">
        <v>32</v>
      </c>
      <c r="D7" s="105"/>
      <c r="E7" s="12"/>
      <c r="F7" s="104">
        <v>4</v>
      </c>
      <c r="G7" s="104">
        <v>5</v>
      </c>
      <c r="H7" s="107">
        <f t="shared" si="0"/>
        <v>650000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600000</v>
      </c>
      <c r="O7" s="118"/>
      <c r="P7" s="220"/>
      <c r="Q7" s="118"/>
      <c r="R7" s="119"/>
    </row>
    <row r="8" spans="1:16" s="113" customFormat="1" ht="18" customHeight="1">
      <c r="A8" s="196" t="s">
        <v>40</v>
      </c>
      <c r="B8" s="307">
        <v>25.4</v>
      </c>
      <c r="C8" s="12">
        <v>32</v>
      </c>
      <c r="D8" s="124"/>
      <c r="E8" s="12"/>
      <c r="F8" s="104">
        <v>5</v>
      </c>
      <c r="G8" s="104">
        <v>4</v>
      </c>
      <c r="H8" s="107">
        <f t="shared" si="0"/>
        <v>550000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500000</v>
      </c>
      <c r="P8" s="220"/>
    </row>
    <row r="9" spans="1:16" s="113" customFormat="1" ht="18" customHeight="1">
      <c r="A9" s="196" t="s">
        <v>28</v>
      </c>
      <c r="B9" s="307">
        <v>11.3</v>
      </c>
      <c r="C9" s="104">
        <v>31</v>
      </c>
      <c r="D9" s="105"/>
      <c r="E9" s="12"/>
      <c r="F9" s="121">
        <v>6</v>
      </c>
      <c r="G9" s="121">
        <v>3</v>
      </c>
      <c r="H9" s="107">
        <f t="shared" si="0"/>
        <v>450000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400000</v>
      </c>
      <c r="P9" s="220"/>
    </row>
    <row r="10" spans="1:16" s="113" customFormat="1" ht="18" customHeight="1">
      <c r="A10" s="196" t="s">
        <v>34</v>
      </c>
      <c r="B10" s="307">
        <v>13.9</v>
      </c>
      <c r="C10" s="105">
        <v>31</v>
      </c>
      <c r="D10" s="124"/>
      <c r="E10" s="121"/>
      <c r="F10" s="104">
        <v>7</v>
      </c>
      <c r="G10" s="104">
        <v>2</v>
      </c>
      <c r="H10" s="107">
        <f t="shared" si="0"/>
        <v>350000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300000</v>
      </c>
      <c r="P10" s="220"/>
    </row>
    <row r="11" spans="1:16" s="113" customFormat="1" ht="18" customHeight="1">
      <c r="A11" s="196" t="s">
        <v>42</v>
      </c>
      <c r="B11" s="307">
        <v>18.1</v>
      </c>
      <c r="C11" s="104">
        <v>31</v>
      </c>
      <c r="D11" s="105"/>
      <c r="E11" s="106"/>
      <c r="F11" s="104">
        <v>8</v>
      </c>
      <c r="G11" s="104">
        <v>1</v>
      </c>
      <c r="H11" s="107">
        <f t="shared" si="0"/>
        <v>250000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200000</v>
      </c>
      <c r="P11" s="220"/>
    </row>
    <row r="12" spans="1:16" s="113" customFormat="1" ht="18" customHeight="1">
      <c r="A12" s="196" t="s">
        <v>48</v>
      </c>
      <c r="B12" s="307">
        <v>7.1</v>
      </c>
      <c r="C12" s="104">
        <v>30</v>
      </c>
      <c r="D12" s="124"/>
      <c r="E12" s="12"/>
      <c r="F12" s="104"/>
      <c r="G12" s="104"/>
      <c r="H12" s="107">
        <f>I12</f>
        <v>50000</v>
      </c>
      <c r="I12" s="108">
        <f t="shared" si="1"/>
        <v>50000</v>
      </c>
      <c r="J12" s="122" t="s">
        <v>96</v>
      </c>
      <c r="K12" s="115"/>
      <c r="L12" s="116"/>
      <c r="M12" s="117"/>
      <c r="N12" s="123">
        <v>5000000</v>
      </c>
      <c r="P12" s="220"/>
    </row>
    <row r="13" spans="1:16" s="113" customFormat="1" ht="18" customHeight="1">
      <c r="A13" s="196" t="s">
        <v>18</v>
      </c>
      <c r="B13" s="307">
        <v>14.3</v>
      </c>
      <c r="C13" s="12">
        <v>29</v>
      </c>
      <c r="D13" s="105"/>
      <c r="E13" s="106"/>
      <c r="F13" s="104"/>
      <c r="G13" s="104"/>
      <c r="H13" s="107">
        <f aca="true" t="shared" si="2" ref="H13:H27">I13</f>
        <v>50000</v>
      </c>
      <c r="I13" s="108">
        <f t="shared" si="1"/>
        <v>50000</v>
      </c>
      <c r="J13" s="125" t="s">
        <v>97</v>
      </c>
      <c r="K13" s="126"/>
      <c r="L13" s="127"/>
      <c r="M13" s="128">
        <v>1</v>
      </c>
      <c r="N13" s="129">
        <f>N10</f>
        <v>300000</v>
      </c>
      <c r="P13" s="220"/>
    </row>
    <row r="14" spans="1:16" s="113" customFormat="1" ht="18" customHeight="1">
      <c r="A14" s="196" t="s">
        <v>10</v>
      </c>
      <c r="B14" s="307">
        <v>15.1</v>
      </c>
      <c r="C14" s="104">
        <v>28</v>
      </c>
      <c r="D14" s="105"/>
      <c r="E14" s="106"/>
      <c r="F14" s="104"/>
      <c r="G14" s="104"/>
      <c r="H14" s="107">
        <f t="shared" si="2"/>
        <v>50000</v>
      </c>
      <c r="I14" s="108">
        <f t="shared" si="1"/>
        <v>50000</v>
      </c>
      <c r="J14" s="130"/>
      <c r="K14" s="126"/>
      <c r="L14" s="126"/>
      <c r="M14" s="131"/>
      <c r="N14" s="132"/>
      <c r="P14" s="220"/>
    </row>
    <row r="15" spans="1:16" s="113" customFormat="1" ht="18" customHeight="1">
      <c r="A15" s="196" t="s">
        <v>26</v>
      </c>
      <c r="B15" s="307">
        <v>21.3</v>
      </c>
      <c r="C15" s="104">
        <v>28</v>
      </c>
      <c r="D15" s="124"/>
      <c r="E15" s="12"/>
      <c r="F15" s="104"/>
      <c r="G15" s="104"/>
      <c r="H15" s="107">
        <f t="shared" si="2"/>
        <v>50000</v>
      </c>
      <c r="I15" s="108">
        <f t="shared" si="1"/>
        <v>50000</v>
      </c>
      <c r="J15" s="133"/>
      <c r="K15" s="134"/>
      <c r="L15" s="134"/>
      <c r="M15" s="135"/>
      <c r="N15" s="136"/>
      <c r="P15" s="220"/>
    </row>
    <row r="16" spans="1:16" s="113" customFormat="1" ht="18" customHeight="1">
      <c r="A16" s="196" t="s">
        <v>16</v>
      </c>
      <c r="B16" s="307">
        <v>18.8</v>
      </c>
      <c r="C16" s="104">
        <v>27</v>
      </c>
      <c r="D16" s="105"/>
      <c r="E16" s="106"/>
      <c r="F16" s="12"/>
      <c r="G16" s="12"/>
      <c r="H16" s="107">
        <f t="shared" si="2"/>
        <v>50000</v>
      </c>
      <c r="I16" s="108">
        <f t="shared" si="1"/>
        <v>50000</v>
      </c>
      <c r="P16" s="220"/>
    </row>
    <row r="17" spans="1:16" s="113" customFormat="1" ht="18" customHeight="1">
      <c r="A17" s="196"/>
      <c r="B17" s="307"/>
      <c r="C17" s="124"/>
      <c r="D17" s="105"/>
      <c r="E17" s="106"/>
      <c r="F17" s="12"/>
      <c r="G17" s="12"/>
      <c r="H17" s="107">
        <f t="shared" si="2"/>
        <v>0</v>
      </c>
      <c r="I17" s="108">
        <f t="shared" si="1"/>
        <v>0</v>
      </c>
      <c r="J17" s="118"/>
      <c r="K17" s="118"/>
      <c r="L17" s="118"/>
      <c r="M17" s="119"/>
      <c r="P17" s="220"/>
    </row>
    <row r="18" spans="1:16" s="113" customFormat="1" ht="18" customHeight="1">
      <c r="A18" s="196"/>
      <c r="B18" s="307"/>
      <c r="C18" s="105"/>
      <c r="D18" s="105"/>
      <c r="E18" s="106"/>
      <c r="F18" s="104"/>
      <c r="G18" s="104"/>
      <c r="H18" s="107">
        <f t="shared" si="2"/>
        <v>0</v>
      </c>
      <c r="I18" s="108">
        <f t="shared" si="1"/>
        <v>0</v>
      </c>
      <c r="J18" s="119"/>
      <c r="K18" s="119"/>
      <c r="L18" s="119"/>
      <c r="M18" s="119"/>
      <c r="P18" s="220"/>
    </row>
    <row r="19" spans="1:16" s="113" customFormat="1" ht="18" customHeight="1">
      <c r="A19" s="196"/>
      <c r="B19" s="307"/>
      <c r="C19" s="104"/>
      <c r="D19" s="124"/>
      <c r="E19" s="106"/>
      <c r="F19" s="104"/>
      <c r="G19" s="104"/>
      <c r="H19" s="107">
        <f t="shared" si="2"/>
        <v>0</v>
      </c>
      <c r="I19" s="108">
        <f t="shared" si="1"/>
        <v>0</v>
      </c>
      <c r="J19" s="119"/>
      <c r="K19" s="119"/>
      <c r="L19" s="119"/>
      <c r="M19" s="119"/>
      <c r="P19" s="220"/>
    </row>
    <row r="20" spans="1:16" s="88" customFormat="1" ht="18" customHeight="1">
      <c r="A20" s="196"/>
      <c r="B20" s="307"/>
      <c r="C20" s="104"/>
      <c r="D20" s="105"/>
      <c r="E20" s="106"/>
      <c r="F20" s="12"/>
      <c r="G20" s="12"/>
      <c r="H20" s="107">
        <f t="shared" si="2"/>
        <v>0</v>
      </c>
      <c r="I20" s="108">
        <f t="shared" si="1"/>
        <v>0</v>
      </c>
      <c r="P20" s="220"/>
    </row>
    <row r="21" spans="1:16" s="88" customFormat="1" ht="18" customHeight="1">
      <c r="A21" s="196"/>
      <c r="B21" s="307"/>
      <c r="C21" s="104"/>
      <c r="D21" s="124"/>
      <c r="E21" s="106"/>
      <c r="F21" s="12"/>
      <c r="G21" s="12"/>
      <c r="H21" s="107">
        <f t="shared" si="2"/>
        <v>0</v>
      </c>
      <c r="I21" s="108">
        <f t="shared" si="1"/>
        <v>0</v>
      </c>
      <c r="P21" s="220"/>
    </row>
    <row r="22" spans="1:16" s="88" customFormat="1" ht="18" customHeight="1">
      <c r="A22" s="196"/>
      <c r="B22" s="307"/>
      <c r="C22" s="104"/>
      <c r="D22" s="105"/>
      <c r="E22" s="106"/>
      <c r="F22" s="12"/>
      <c r="G22" s="12"/>
      <c r="H22" s="107">
        <f t="shared" si="2"/>
        <v>0</v>
      </c>
      <c r="I22" s="108">
        <f t="shared" si="1"/>
        <v>0</v>
      </c>
      <c r="P22" s="220"/>
    </row>
    <row r="23" spans="1:16" s="88" customFormat="1" ht="18" customHeight="1">
      <c r="A23" s="196"/>
      <c r="B23" s="307"/>
      <c r="C23" s="105"/>
      <c r="D23" s="105"/>
      <c r="E23" s="12"/>
      <c r="F23" s="12"/>
      <c r="G23" s="12"/>
      <c r="H23" s="107">
        <f t="shared" si="2"/>
        <v>0</v>
      </c>
      <c r="I23" s="108">
        <f t="shared" si="1"/>
        <v>0</v>
      </c>
      <c r="P23" s="218"/>
    </row>
    <row r="24" spans="1:16" s="88" customFormat="1" ht="18" customHeight="1">
      <c r="A24" s="196"/>
      <c r="B24" s="307"/>
      <c r="C24" s="104"/>
      <c r="D24" s="105"/>
      <c r="E24" s="106"/>
      <c r="F24" s="12"/>
      <c r="G24" s="12"/>
      <c r="H24" s="107">
        <f t="shared" si="2"/>
        <v>0</v>
      </c>
      <c r="I24" s="108">
        <f t="shared" si="1"/>
        <v>0</v>
      </c>
      <c r="P24" s="218"/>
    </row>
    <row r="25" spans="1:16" s="88" customFormat="1" ht="18" customHeight="1">
      <c r="A25" s="196"/>
      <c r="B25" s="307"/>
      <c r="C25" s="105"/>
      <c r="D25" s="105"/>
      <c r="E25" s="12"/>
      <c r="F25" s="12"/>
      <c r="G25" s="12"/>
      <c r="H25" s="107">
        <f t="shared" si="2"/>
        <v>0</v>
      </c>
      <c r="I25" s="108">
        <f t="shared" si="1"/>
        <v>0</v>
      </c>
      <c r="P25" s="218"/>
    </row>
    <row r="26" spans="1:16" s="88" customFormat="1" ht="18" customHeight="1">
      <c r="A26" s="196"/>
      <c r="B26" s="307"/>
      <c r="C26" s="104"/>
      <c r="D26" s="124"/>
      <c r="E26" s="12"/>
      <c r="F26" s="104"/>
      <c r="G26" s="104"/>
      <c r="H26" s="107">
        <f t="shared" si="2"/>
        <v>0</v>
      </c>
      <c r="I26" s="108">
        <f t="shared" si="1"/>
        <v>0</v>
      </c>
      <c r="P26" s="218"/>
    </row>
    <row r="27" spans="1:16" s="88" customFormat="1" ht="18" customHeight="1">
      <c r="A27" s="196"/>
      <c r="B27" s="307"/>
      <c r="C27" s="104"/>
      <c r="D27" s="124"/>
      <c r="E27" s="106"/>
      <c r="F27" s="104"/>
      <c r="G27" s="104"/>
      <c r="H27" s="107">
        <f t="shared" si="2"/>
        <v>0</v>
      </c>
      <c r="I27" s="108">
        <f t="shared" si="1"/>
        <v>0</v>
      </c>
      <c r="P27" s="218"/>
    </row>
    <row r="28" spans="1:9" ht="24" customHeight="1" thickBot="1">
      <c r="A28" s="1"/>
      <c r="B28" s="3"/>
      <c r="C28" s="138"/>
      <c r="D28" s="140">
        <f>SUM(D4:D27)</f>
        <v>0</v>
      </c>
      <c r="E28" s="138"/>
      <c r="F28" s="3"/>
      <c r="G28" s="140">
        <f>SUM(G4:G27)</f>
        <v>39</v>
      </c>
      <c r="H28" s="140">
        <f>SUM(H4:H27)</f>
        <v>5650000</v>
      </c>
      <c r="I28" s="141"/>
    </row>
    <row r="29" ht="18.75" thickTop="1"/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9.140625" style="221" customWidth="1"/>
    <col min="17" max="17" width="9.140625" style="167" customWidth="1"/>
    <col min="18" max="16384" width="9.140625" style="8" customWidth="1"/>
  </cols>
  <sheetData>
    <row r="1" spans="2:17" s="88" customFormat="1" ht="43.5" customHeight="1">
      <c r="B1" s="480" t="s">
        <v>130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P1" s="218"/>
      <c r="Q1" s="212"/>
    </row>
    <row r="2" spans="2:17" s="88" customFormat="1" ht="29.25" customHeight="1">
      <c r="B2" s="490" t="s">
        <v>182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P2" s="218"/>
      <c r="Q2" s="212"/>
    </row>
    <row r="3" spans="1:17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  <c r="P3" s="219"/>
      <c r="Q3" s="213" t="s">
        <v>114</v>
      </c>
    </row>
    <row r="4" spans="1:17" s="113" customFormat="1" ht="18" customHeight="1">
      <c r="A4" s="196" t="s">
        <v>42</v>
      </c>
      <c r="B4" s="307">
        <v>18.1</v>
      </c>
      <c r="C4" s="104">
        <v>38</v>
      </c>
      <c r="D4" s="105"/>
      <c r="E4" s="106"/>
      <c r="F4" s="104">
        <v>1</v>
      </c>
      <c r="G4" s="104">
        <v>10</v>
      </c>
      <c r="H4" s="107">
        <f>N4+I4</f>
        <v>1300000</v>
      </c>
      <c r="I4" s="108">
        <f>IF(E4&gt;0,$N$13,0)+IF(C4&gt;0,50000,0)+IF(C4&lt;0,50000,0)</f>
        <v>50000</v>
      </c>
      <c r="J4" s="109" t="s">
        <v>88</v>
      </c>
      <c r="K4" s="110"/>
      <c r="L4" s="111"/>
      <c r="M4" s="112">
        <v>10</v>
      </c>
      <c r="N4" s="107">
        <f>N12*25%</f>
        <v>1250000</v>
      </c>
      <c r="P4" s="220">
        <f>Q4/12*18</f>
        <v>34.5</v>
      </c>
      <c r="Q4" s="90">
        <v>23</v>
      </c>
    </row>
    <row r="5" spans="1:17" s="113" customFormat="1" ht="18" customHeight="1">
      <c r="A5" s="196" t="s">
        <v>26</v>
      </c>
      <c r="B5" s="307">
        <v>21.3</v>
      </c>
      <c r="C5" s="105">
        <v>35</v>
      </c>
      <c r="D5" s="105"/>
      <c r="E5" s="106"/>
      <c r="F5" s="104">
        <v>2</v>
      </c>
      <c r="G5" s="104">
        <v>8</v>
      </c>
      <c r="H5" s="107">
        <f aca="true" t="shared" si="0" ref="H5:H11">N5+I5</f>
        <v>1050000</v>
      </c>
      <c r="I5" s="108">
        <f aca="true" t="shared" si="1" ref="I5:I27">IF(E5&gt;0,$N$13,0)+IF(C5&gt;0,50000,0)+IF(C5&lt;0,50000,0)</f>
        <v>50000</v>
      </c>
      <c r="J5" s="114" t="s">
        <v>89</v>
      </c>
      <c r="K5" s="115"/>
      <c r="L5" s="116"/>
      <c r="M5" s="117">
        <v>8</v>
      </c>
      <c r="N5" s="107">
        <f>N12*20%</f>
        <v>1000000</v>
      </c>
      <c r="P5" s="220">
        <f aca="true" t="shared" si="2" ref="P5:P16">Q5/12*18</f>
        <v>27</v>
      </c>
      <c r="Q5" s="90">
        <v>18</v>
      </c>
    </row>
    <row r="6" spans="1:17" s="113" customFormat="1" ht="18" customHeight="1">
      <c r="A6" s="196" t="s">
        <v>32</v>
      </c>
      <c r="B6" s="307">
        <v>13.4</v>
      </c>
      <c r="C6" s="105">
        <v>34</v>
      </c>
      <c r="D6" s="105"/>
      <c r="E6" s="106"/>
      <c r="F6" s="12">
        <v>3</v>
      </c>
      <c r="G6" s="12">
        <v>6</v>
      </c>
      <c r="H6" s="107">
        <f t="shared" si="0"/>
        <v>800000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750000</v>
      </c>
      <c r="P6" s="220">
        <f t="shared" si="2"/>
        <v>37.5</v>
      </c>
      <c r="Q6" s="90">
        <v>25</v>
      </c>
    </row>
    <row r="7" spans="1:18" s="113" customFormat="1" ht="18" customHeight="1">
      <c r="A7" s="196" t="s">
        <v>18</v>
      </c>
      <c r="B7" s="307">
        <v>14.3</v>
      </c>
      <c r="C7" s="105">
        <v>34</v>
      </c>
      <c r="D7" s="105"/>
      <c r="E7" s="121"/>
      <c r="F7" s="104">
        <v>4</v>
      </c>
      <c r="G7" s="104">
        <v>5</v>
      </c>
      <c r="H7" s="107">
        <f t="shared" si="0"/>
        <v>650000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600000</v>
      </c>
      <c r="O7" s="118"/>
      <c r="P7" s="220">
        <f t="shared" si="2"/>
        <v>30</v>
      </c>
      <c r="Q7" s="118">
        <v>20</v>
      </c>
      <c r="R7" s="119"/>
    </row>
    <row r="8" spans="1:17" s="113" customFormat="1" ht="18" customHeight="1">
      <c r="A8" s="196" t="s">
        <v>10</v>
      </c>
      <c r="B8" s="307">
        <v>15.1</v>
      </c>
      <c r="C8" s="104">
        <v>33</v>
      </c>
      <c r="D8" s="105"/>
      <c r="E8" s="106"/>
      <c r="F8" s="104">
        <v>5</v>
      </c>
      <c r="G8" s="104">
        <v>4</v>
      </c>
      <c r="H8" s="107">
        <f t="shared" si="0"/>
        <v>550000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500000</v>
      </c>
      <c r="P8" s="220">
        <f t="shared" si="2"/>
        <v>39</v>
      </c>
      <c r="Q8" s="90">
        <v>26</v>
      </c>
    </row>
    <row r="9" spans="1:17" s="113" customFormat="1" ht="18" customHeight="1">
      <c r="A9" s="196" t="s">
        <v>46</v>
      </c>
      <c r="B9" s="307">
        <v>18.2</v>
      </c>
      <c r="C9" s="104">
        <v>33</v>
      </c>
      <c r="D9" s="105"/>
      <c r="E9" s="106"/>
      <c r="F9" s="121">
        <v>6</v>
      </c>
      <c r="G9" s="121">
        <v>3</v>
      </c>
      <c r="H9" s="107">
        <f t="shared" si="0"/>
        <v>450000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400000</v>
      </c>
      <c r="P9" s="220">
        <f t="shared" si="2"/>
        <v>34.5</v>
      </c>
      <c r="Q9" s="90">
        <v>23</v>
      </c>
    </row>
    <row r="10" spans="1:17" s="113" customFormat="1" ht="18" customHeight="1">
      <c r="A10" s="196" t="s">
        <v>34</v>
      </c>
      <c r="B10" s="307">
        <v>13.9</v>
      </c>
      <c r="C10" s="12">
        <v>31</v>
      </c>
      <c r="D10" s="105"/>
      <c r="E10" s="106"/>
      <c r="F10" s="104">
        <v>7</v>
      </c>
      <c r="G10" s="104">
        <v>2</v>
      </c>
      <c r="H10" s="107">
        <f t="shared" si="0"/>
        <v>350000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300000</v>
      </c>
      <c r="P10" s="220">
        <f t="shared" si="2"/>
        <v>40.5</v>
      </c>
      <c r="Q10" s="90">
        <v>27</v>
      </c>
    </row>
    <row r="11" spans="1:17" s="113" customFormat="1" ht="18" customHeight="1">
      <c r="A11" s="196" t="s">
        <v>38</v>
      </c>
      <c r="B11" s="307">
        <v>14.3</v>
      </c>
      <c r="C11" s="104">
        <v>31</v>
      </c>
      <c r="D11" s="105"/>
      <c r="E11" s="12"/>
      <c r="F11" s="104">
        <v>8</v>
      </c>
      <c r="G11" s="104">
        <v>1</v>
      </c>
      <c r="H11" s="107">
        <f t="shared" si="0"/>
        <v>250000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200000</v>
      </c>
      <c r="P11" s="220">
        <f t="shared" si="2"/>
        <v>37.5</v>
      </c>
      <c r="Q11" s="90">
        <v>25</v>
      </c>
    </row>
    <row r="12" spans="1:17" s="113" customFormat="1" ht="18" customHeight="1">
      <c r="A12" s="196" t="s">
        <v>48</v>
      </c>
      <c r="B12" s="307">
        <v>7.1</v>
      </c>
      <c r="C12" s="104">
        <v>30</v>
      </c>
      <c r="D12" s="105"/>
      <c r="E12" s="106"/>
      <c r="F12" s="104"/>
      <c r="G12" s="104"/>
      <c r="H12" s="107">
        <f>I12</f>
        <v>50000</v>
      </c>
      <c r="I12" s="108">
        <f t="shared" si="1"/>
        <v>50000</v>
      </c>
      <c r="J12" s="122" t="s">
        <v>96</v>
      </c>
      <c r="K12" s="115"/>
      <c r="L12" s="116"/>
      <c r="M12" s="117"/>
      <c r="N12" s="123">
        <v>5000000</v>
      </c>
      <c r="P12" s="220">
        <f t="shared" si="2"/>
        <v>39</v>
      </c>
      <c r="Q12" s="90">
        <v>26</v>
      </c>
    </row>
    <row r="13" spans="1:17" s="113" customFormat="1" ht="18" customHeight="1">
      <c r="A13" s="196" t="s">
        <v>52</v>
      </c>
      <c r="B13" s="307">
        <v>13.6</v>
      </c>
      <c r="C13" s="104">
        <v>27</v>
      </c>
      <c r="D13" s="105"/>
      <c r="E13" s="106"/>
      <c r="F13" s="104"/>
      <c r="G13" s="104"/>
      <c r="H13" s="107">
        <f aca="true" t="shared" si="3" ref="H13:H27">I13</f>
        <v>50000</v>
      </c>
      <c r="I13" s="108">
        <f t="shared" si="1"/>
        <v>50000</v>
      </c>
      <c r="J13" s="125" t="s">
        <v>97</v>
      </c>
      <c r="K13" s="126"/>
      <c r="L13" s="127"/>
      <c r="M13" s="128">
        <v>1</v>
      </c>
      <c r="N13" s="129">
        <f>N10</f>
        <v>300000</v>
      </c>
      <c r="P13" s="220">
        <f t="shared" si="2"/>
        <v>37.5</v>
      </c>
      <c r="Q13" s="90">
        <v>25</v>
      </c>
    </row>
    <row r="14" spans="1:17" s="113" customFormat="1" ht="18" customHeight="1">
      <c r="A14" s="196" t="s">
        <v>12</v>
      </c>
      <c r="B14" s="307">
        <v>18.6</v>
      </c>
      <c r="C14" s="12">
        <v>27</v>
      </c>
      <c r="D14" s="105"/>
      <c r="E14" s="106"/>
      <c r="F14" s="104"/>
      <c r="G14" s="104"/>
      <c r="H14" s="107">
        <f t="shared" si="3"/>
        <v>50000</v>
      </c>
      <c r="I14" s="108">
        <f t="shared" si="1"/>
        <v>50000</v>
      </c>
      <c r="J14" s="130"/>
      <c r="K14" s="126"/>
      <c r="L14" s="126"/>
      <c r="M14" s="131"/>
      <c r="N14" s="132"/>
      <c r="P14" s="220">
        <f t="shared" si="2"/>
        <v>39</v>
      </c>
      <c r="Q14" s="90">
        <v>26</v>
      </c>
    </row>
    <row r="15" spans="1:17" s="113" customFormat="1" ht="18" customHeight="1">
      <c r="A15" s="196" t="s">
        <v>40</v>
      </c>
      <c r="B15" s="307">
        <v>25.4</v>
      </c>
      <c r="C15" s="104">
        <v>27</v>
      </c>
      <c r="D15" s="105"/>
      <c r="E15" s="12"/>
      <c r="F15" s="104"/>
      <c r="G15" s="104"/>
      <c r="H15" s="107">
        <f t="shared" si="3"/>
        <v>50000</v>
      </c>
      <c r="I15" s="108">
        <f t="shared" si="1"/>
        <v>50000</v>
      </c>
      <c r="J15" s="133"/>
      <c r="K15" s="134"/>
      <c r="L15" s="134"/>
      <c r="M15" s="135"/>
      <c r="N15" s="136"/>
      <c r="P15" s="220">
        <f t="shared" si="2"/>
        <v>43.5</v>
      </c>
      <c r="Q15" s="90">
        <v>29</v>
      </c>
    </row>
    <row r="16" spans="1:17" s="113" customFormat="1" ht="18" customHeight="1">
      <c r="A16" s="196" t="s">
        <v>24</v>
      </c>
      <c r="B16" s="307">
        <v>14.6</v>
      </c>
      <c r="C16" s="104">
        <v>26</v>
      </c>
      <c r="D16" s="105"/>
      <c r="E16" s="106"/>
      <c r="F16" s="12"/>
      <c r="G16" s="12"/>
      <c r="H16" s="107">
        <f t="shared" si="3"/>
        <v>50000</v>
      </c>
      <c r="I16" s="108">
        <f t="shared" si="1"/>
        <v>50000</v>
      </c>
      <c r="P16" s="220">
        <f t="shared" si="2"/>
        <v>39</v>
      </c>
      <c r="Q16" s="90">
        <v>26</v>
      </c>
    </row>
    <row r="17" spans="1:17" s="113" customFormat="1" ht="18" customHeight="1">
      <c r="A17" s="196"/>
      <c r="B17" s="307"/>
      <c r="C17" s="104"/>
      <c r="D17" s="105"/>
      <c r="E17" s="106"/>
      <c r="F17" s="12"/>
      <c r="G17" s="12"/>
      <c r="H17" s="107">
        <f t="shared" si="3"/>
        <v>0</v>
      </c>
      <c r="I17" s="108">
        <f t="shared" si="1"/>
        <v>0</v>
      </c>
      <c r="J17" s="118"/>
      <c r="K17" s="118"/>
      <c r="L17" s="118"/>
      <c r="M17" s="119"/>
      <c r="P17" s="220"/>
      <c r="Q17" s="90"/>
    </row>
    <row r="18" spans="1:17" s="113" customFormat="1" ht="18" customHeight="1">
      <c r="A18" s="196"/>
      <c r="B18" s="307"/>
      <c r="C18" s="104"/>
      <c r="D18" s="105"/>
      <c r="E18" s="106"/>
      <c r="F18" s="104"/>
      <c r="G18" s="104"/>
      <c r="H18" s="107">
        <f t="shared" si="3"/>
        <v>0</v>
      </c>
      <c r="I18" s="108">
        <f t="shared" si="1"/>
        <v>0</v>
      </c>
      <c r="J18" s="119"/>
      <c r="K18" s="119"/>
      <c r="L18" s="119"/>
      <c r="M18" s="119"/>
      <c r="P18" s="220"/>
      <c r="Q18" s="90"/>
    </row>
    <row r="19" spans="1:17" s="113" customFormat="1" ht="18" customHeight="1">
      <c r="A19" s="196"/>
      <c r="B19" s="307"/>
      <c r="C19" s="105"/>
      <c r="D19" s="105"/>
      <c r="E19" s="106"/>
      <c r="F19" s="104"/>
      <c r="G19" s="104"/>
      <c r="H19" s="107">
        <f t="shared" si="3"/>
        <v>0</v>
      </c>
      <c r="I19" s="108">
        <f t="shared" si="1"/>
        <v>0</v>
      </c>
      <c r="J19" s="119"/>
      <c r="K19" s="119"/>
      <c r="L19" s="119"/>
      <c r="M19" s="119"/>
      <c r="P19" s="220"/>
      <c r="Q19" s="90"/>
    </row>
    <row r="20" spans="1:17" s="88" customFormat="1" ht="18" customHeight="1">
      <c r="A20" s="196"/>
      <c r="B20" s="307"/>
      <c r="C20" s="104"/>
      <c r="D20" s="105"/>
      <c r="E20" s="12"/>
      <c r="F20" s="12"/>
      <c r="G20" s="12"/>
      <c r="H20" s="107">
        <f t="shared" si="3"/>
        <v>0</v>
      </c>
      <c r="I20" s="108">
        <f t="shared" si="1"/>
        <v>0</v>
      </c>
      <c r="P20" s="218"/>
      <c r="Q20" s="212"/>
    </row>
    <row r="21" spans="1:17" s="88" customFormat="1" ht="18" customHeight="1">
      <c r="A21" s="196"/>
      <c r="B21" s="307"/>
      <c r="C21" s="105"/>
      <c r="D21" s="124"/>
      <c r="E21" s="12"/>
      <c r="F21" s="12"/>
      <c r="G21" s="12"/>
      <c r="H21" s="107">
        <f t="shared" si="3"/>
        <v>0</v>
      </c>
      <c r="I21" s="108">
        <f t="shared" si="1"/>
        <v>0</v>
      </c>
      <c r="P21" s="218"/>
      <c r="Q21" s="212"/>
    </row>
    <row r="22" spans="1:17" s="88" customFormat="1" ht="18" customHeight="1">
      <c r="A22" s="196"/>
      <c r="B22" s="307"/>
      <c r="C22" s="104"/>
      <c r="D22" s="105"/>
      <c r="E22" s="12"/>
      <c r="F22" s="12"/>
      <c r="G22" s="12"/>
      <c r="H22" s="107">
        <f t="shared" si="3"/>
        <v>0</v>
      </c>
      <c r="I22" s="108">
        <f t="shared" si="1"/>
        <v>0</v>
      </c>
      <c r="P22" s="218"/>
      <c r="Q22" s="212"/>
    </row>
    <row r="23" spans="1:17" s="88" customFormat="1" ht="18" customHeight="1">
      <c r="A23" s="196"/>
      <c r="B23" s="307"/>
      <c r="C23" s="104"/>
      <c r="D23" s="124"/>
      <c r="E23" s="12"/>
      <c r="F23" s="12"/>
      <c r="G23" s="12"/>
      <c r="H23" s="107">
        <f t="shared" si="3"/>
        <v>0</v>
      </c>
      <c r="I23" s="108">
        <f t="shared" si="1"/>
        <v>0</v>
      </c>
      <c r="P23" s="218"/>
      <c r="Q23" s="212"/>
    </row>
    <row r="24" spans="1:17" s="88" customFormat="1" ht="18" customHeight="1">
      <c r="A24" s="196"/>
      <c r="B24" s="307"/>
      <c r="C24" s="104"/>
      <c r="D24" s="124"/>
      <c r="E24" s="12"/>
      <c r="F24" s="12"/>
      <c r="G24" s="12"/>
      <c r="H24" s="107">
        <f t="shared" si="3"/>
        <v>0</v>
      </c>
      <c r="I24" s="108">
        <f t="shared" si="1"/>
        <v>0</v>
      </c>
      <c r="P24" s="218"/>
      <c r="Q24" s="212"/>
    </row>
    <row r="25" spans="1:17" s="88" customFormat="1" ht="18" customHeight="1">
      <c r="A25" s="196"/>
      <c r="B25" s="307"/>
      <c r="C25" s="124"/>
      <c r="D25" s="124"/>
      <c r="E25" s="12"/>
      <c r="F25" s="12"/>
      <c r="G25" s="12"/>
      <c r="H25" s="107">
        <f t="shared" si="3"/>
        <v>0</v>
      </c>
      <c r="I25" s="108">
        <f t="shared" si="1"/>
        <v>0</v>
      </c>
      <c r="P25" s="218"/>
      <c r="Q25" s="212"/>
    </row>
    <row r="26" spans="1:17" s="88" customFormat="1" ht="18" customHeight="1">
      <c r="A26" s="196"/>
      <c r="B26" s="307"/>
      <c r="C26" s="105"/>
      <c r="D26" s="124"/>
      <c r="E26" s="106"/>
      <c r="F26" s="104"/>
      <c r="G26" s="104"/>
      <c r="H26" s="107">
        <f t="shared" si="3"/>
        <v>0</v>
      </c>
      <c r="I26" s="108">
        <f t="shared" si="1"/>
        <v>0</v>
      </c>
      <c r="P26" s="218"/>
      <c r="Q26" s="212"/>
    </row>
    <row r="27" spans="1:17" s="88" customFormat="1" ht="18" customHeight="1">
      <c r="A27" s="196"/>
      <c r="B27" s="307"/>
      <c r="C27" s="104"/>
      <c r="D27" s="105"/>
      <c r="E27" s="106"/>
      <c r="F27" s="104"/>
      <c r="G27" s="104"/>
      <c r="H27" s="107">
        <f t="shared" si="3"/>
        <v>0</v>
      </c>
      <c r="I27" s="108">
        <f t="shared" si="1"/>
        <v>0</v>
      </c>
      <c r="P27" s="218"/>
      <c r="Q27" s="212"/>
    </row>
    <row r="28" spans="1:9" ht="24" customHeight="1" thickBot="1">
      <c r="A28" s="1"/>
      <c r="B28" s="3"/>
      <c r="C28" s="138"/>
      <c r="D28" s="140">
        <f>SUM(D4:D27)</f>
        <v>0</v>
      </c>
      <c r="E28" s="138"/>
      <c r="F28" s="3"/>
      <c r="G28" s="140">
        <f>SUM(G4:G27)</f>
        <v>39</v>
      </c>
      <c r="H28" s="140">
        <f>SUM(H4:H27)</f>
        <v>5650000</v>
      </c>
      <c r="I28" s="141"/>
    </row>
    <row r="29" ht="18.75" thickTop="1"/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167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4" s="88" customFormat="1" ht="29.25" customHeight="1">
      <c r="B2" s="490" t="s">
        <v>217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s="102" customFormat="1" ht="27" customHeight="1">
      <c r="A3" s="91" t="s">
        <v>79</v>
      </c>
      <c r="B3" s="92" t="s">
        <v>80</v>
      </c>
      <c r="C3" s="92" t="s">
        <v>85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</row>
    <row r="4" spans="1:14" s="113" customFormat="1" ht="18" customHeight="1">
      <c r="A4" s="196" t="s">
        <v>36</v>
      </c>
      <c r="B4" s="307">
        <v>22.1</v>
      </c>
      <c r="C4" s="104">
        <v>38</v>
      </c>
      <c r="D4" s="124" t="s">
        <v>103</v>
      </c>
      <c r="E4" s="106"/>
      <c r="F4" s="104">
        <v>1</v>
      </c>
      <c r="G4" s="104">
        <v>10</v>
      </c>
      <c r="H4" s="107">
        <f>N4+I4</f>
        <v>1300000</v>
      </c>
      <c r="I4" s="108">
        <f>IF(E4&gt;0,$N$13,0)+IF(C4&gt;0,50000,0)+IF(C4&lt;0,50000,0)</f>
        <v>50000</v>
      </c>
      <c r="J4" s="109" t="s">
        <v>88</v>
      </c>
      <c r="K4" s="110"/>
      <c r="L4" s="111"/>
      <c r="M4" s="112">
        <v>10</v>
      </c>
      <c r="N4" s="107">
        <f>N12*25%</f>
        <v>1250000</v>
      </c>
    </row>
    <row r="5" spans="1:14" s="113" customFormat="1" ht="18" customHeight="1">
      <c r="A5" s="196" t="s">
        <v>26</v>
      </c>
      <c r="B5" s="307">
        <v>21.3</v>
      </c>
      <c r="C5" s="104">
        <v>30</v>
      </c>
      <c r="D5" s="124" t="s">
        <v>103</v>
      </c>
      <c r="E5" s="12"/>
      <c r="F5" s="104">
        <v>2</v>
      </c>
      <c r="G5" s="104">
        <v>8</v>
      </c>
      <c r="H5" s="107">
        <f aca="true" t="shared" si="0" ref="H5:H11">N5+I5</f>
        <v>1050000</v>
      </c>
      <c r="I5" s="108">
        <f aca="true" t="shared" si="1" ref="I5:I27">IF(E5&gt;0,$N$13,0)+IF(C5&gt;0,50000,0)+IF(C5&lt;0,50000,0)</f>
        <v>50000</v>
      </c>
      <c r="J5" s="114" t="s">
        <v>89</v>
      </c>
      <c r="K5" s="115"/>
      <c r="L5" s="116"/>
      <c r="M5" s="117">
        <v>8</v>
      </c>
      <c r="N5" s="107">
        <f>N12*20%</f>
        <v>1000000</v>
      </c>
    </row>
    <row r="6" spans="1:14" s="113" customFormat="1" ht="18" customHeight="1">
      <c r="A6" s="196" t="s">
        <v>52</v>
      </c>
      <c r="B6" s="307">
        <v>13.6</v>
      </c>
      <c r="C6" s="104">
        <v>29</v>
      </c>
      <c r="D6" s="124" t="s">
        <v>103</v>
      </c>
      <c r="E6" s="106"/>
      <c r="F6" s="12">
        <v>3</v>
      </c>
      <c r="G6" s="12">
        <v>6</v>
      </c>
      <c r="H6" s="107">
        <f t="shared" si="0"/>
        <v>800000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750000</v>
      </c>
    </row>
    <row r="7" spans="1:16" s="113" customFormat="1" ht="18" customHeight="1">
      <c r="A7" s="196" t="s">
        <v>12</v>
      </c>
      <c r="B7" s="307">
        <v>18.6</v>
      </c>
      <c r="C7" s="104">
        <v>29</v>
      </c>
      <c r="D7" s="124" t="s">
        <v>103</v>
      </c>
      <c r="E7" s="106"/>
      <c r="F7" s="104">
        <v>4</v>
      </c>
      <c r="G7" s="104">
        <v>5</v>
      </c>
      <c r="H7" s="107">
        <f t="shared" si="0"/>
        <v>650000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600000</v>
      </c>
      <c r="O7" s="118"/>
      <c r="P7" s="119"/>
    </row>
    <row r="8" spans="1:14" s="113" customFormat="1" ht="18" customHeight="1">
      <c r="A8" s="196" t="s">
        <v>28</v>
      </c>
      <c r="B8" s="307">
        <v>11.3</v>
      </c>
      <c r="C8" s="104">
        <v>28</v>
      </c>
      <c r="D8" s="124" t="s">
        <v>103</v>
      </c>
      <c r="E8" s="106"/>
      <c r="F8" s="104">
        <v>5</v>
      </c>
      <c r="G8" s="104">
        <v>4</v>
      </c>
      <c r="H8" s="107">
        <f t="shared" si="0"/>
        <v>550000</v>
      </c>
      <c r="I8" s="108">
        <f t="shared" si="1"/>
        <v>50000</v>
      </c>
      <c r="J8" s="114" t="s">
        <v>92</v>
      </c>
      <c r="K8" s="115"/>
      <c r="L8" s="116"/>
      <c r="M8" s="117">
        <v>4</v>
      </c>
      <c r="N8" s="107">
        <f>N12*10%</f>
        <v>500000</v>
      </c>
    </row>
    <row r="9" spans="1:14" s="113" customFormat="1" ht="18" customHeight="1">
      <c r="A9" s="196" t="s">
        <v>10</v>
      </c>
      <c r="B9" s="307">
        <v>15.1</v>
      </c>
      <c r="C9" s="104">
        <v>28</v>
      </c>
      <c r="D9" s="124" t="s">
        <v>103</v>
      </c>
      <c r="E9" s="12"/>
      <c r="F9" s="121">
        <v>6</v>
      </c>
      <c r="G9" s="121">
        <v>3</v>
      </c>
      <c r="H9" s="107">
        <f t="shared" si="0"/>
        <v>450000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400000</v>
      </c>
    </row>
    <row r="10" spans="1:14" s="113" customFormat="1" ht="18" customHeight="1">
      <c r="A10" s="196" t="s">
        <v>48</v>
      </c>
      <c r="B10" s="307">
        <v>7.1</v>
      </c>
      <c r="C10" s="105">
        <v>27</v>
      </c>
      <c r="D10" s="124" t="s">
        <v>103</v>
      </c>
      <c r="E10" s="106"/>
      <c r="F10" s="104">
        <v>7</v>
      </c>
      <c r="G10" s="104">
        <v>2</v>
      </c>
      <c r="H10" s="107">
        <f t="shared" si="0"/>
        <v>350000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300000</v>
      </c>
    </row>
    <row r="11" spans="1:14" s="113" customFormat="1" ht="18" customHeight="1">
      <c r="A11" s="196" t="s">
        <v>30</v>
      </c>
      <c r="B11" s="307">
        <v>11.9</v>
      </c>
      <c r="C11" s="105">
        <v>27</v>
      </c>
      <c r="D11" s="124" t="s">
        <v>103</v>
      </c>
      <c r="E11" s="106"/>
      <c r="F11" s="104">
        <v>8</v>
      </c>
      <c r="G11" s="104">
        <v>1</v>
      </c>
      <c r="H11" s="107">
        <f t="shared" si="0"/>
        <v>250000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200000</v>
      </c>
    </row>
    <row r="12" spans="1:14" s="113" customFormat="1" ht="18" customHeight="1">
      <c r="A12" s="196" t="s">
        <v>44</v>
      </c>
      <c r="B12" s="307">
        <v>13.1</v>
      </c>
      <c r="C12" s="105">
        <v>26</v>
      </c>
      <c r="D12" s="124" t="s">
        <v>103</v>
      </c>
      <c r="E12" s="106"/>
      <c r="F12" s="104"/>
      <c r="G12" s="104"/>
      <c r="H12" s="107">
        <f>I12</f>
        <v>50000</v>
      </c>
      <c r="I12" s="108">
        <f t="shared" si="1"/>
        <v>50000</v>
      </c>
      <c r="J12" s="122" t="s">
        <v>96</v>
      </c>
      <c r="K12" s="115"/>
      <c r="L12" s="116"/>
      <c r="M12" s="117"/>
      <c r="N12" s="123">
        <v>5000000</v>
      </c>
    </row>
    <row r="13" spans="1:14" s="113" customFormat="1" ht="18" customHeight="1">
      <c r="A13" s="196" t="s">
        <v>18</v>
      </c>
      <c r="B13" s="307">
        <v>14.3</v>
      </c>
      <c r="C13" s="124">
        <v>25</v>
      </c>
      <c r="D13" s="124" t="s">
        <v>103</v>
      </c>
      <c r="E13" s="121"/>
      <c r="F13" s="104"/>
      <c r="G13" s="104"/>
      <c r="H13" s="107">
        <f aca="true" t="shared" si="2" ref="H13:H27">I13</f>
        <v>50000</v>
      </c>
      <c r="I13" s="108">
        <f t="shared" si="1"/>
        <v>50000</v>
      </c>
      <c r="J13" s="125" t="s">
        <v>97</v>
      </c>
      <c r="K13" s="126"/>
      <c r="L13" s="127"/>
      <c r="M13" s="128">
        <v>1</v>
      </c>
      <c r="N13" s="129">
        <f>N10</f>
        <v>300000</v>
      </c>
    </row>
    <row r="14" spans="1:14" s="113" customFormat="1" ht="18" customHeight="1">
      <c r="A14" s="196" t="s">
        <v>42</v>
      </c>
      <c r="B14" s="307">
        <v>18.1</v>
      </c>
      <c r="C14" s="104">
        <v>25</v>
      </c>
      <c r="D14" s="124" t="s">
        <v>103</v>
      </c>
      <c r="E14" s="106"/>
      <c r="F14" s="104"/>
      <c r="G14" s="104"/>
      <c r="H14" s="107">
        <f t="shared" si="2"/>
        <v>50000</v>
      </c>
      <c r="I14" s="108">
        <f t="shared" si="1"/>
        <v>50000</v>
      </c>
      <c r="J14" s="130"/>
      <c r="K14" s="126"/>
      <c r="L14" s="126"/>
      <c r="M14" s="131"/>
      <c r="N14" s="132"/>
    </row>
    <row r="15" spans="1:14" s="113" customFormat="1" ht="18" customHeight="1">
      <c r="A15" s="196" t="s">
        <v>8</v>
      </c>
      <c r="B15" s="307">
        <v>23</v>
      </c>
      <c r="C15" s="105">
        <v>25</v>
      </c>
      <c r="D15" s="124" t="s">
        <v>103</v>
      </c>
      <c r="E15" s="12"/>
      <c r="F15" s="104"/>
      <c r="G15" s="104"/>
      <c r="H15" s="107">
        <f t="shared" si="2"/>
        <v>50000</v>
      </c>
      <c r="I15" s="108">
        <f t="shared" si="1"/>
        <v>50000</v>
      </c>
      <c r="J15" s="133"/>
      <c r="K15" s="134"/>
      <c r="L15" s="134"/>
      <c r="M15" s="135"/>
      <c r="N15" s="136"/>
    </row>
    <row r="16" spans="1:9" s="113" customFormat="1" ht="18" customHeight="1">
      <c r="A16" s="196" t="s">
        <v>46</v>
      </c>
      <c r="B16" s="307">
        <v>18.2</v>
      </c>
      <c r="C16" s="104">
        <v>23</v>
      </c>
      <c r="D16" s="124" t="s">
        <v>103</v>
      </c>
      <c r="E16" s="12"/>
      <c r="F16" s="12"/>
      <c r="G16" s="12"/>
      <c r="H16" s="107">
        <f t="shared" si="2"/>
        <v>50000</v>
      </c>
      <c r="I16" s="108">
        <f t="shared" si="1"/>
        <v>50000</v>
      </c>
    </row>
    <row r="17" spans="1:13" s="113" customFormat="1" ht="18" customHeight="1">
      <c r="A17" s="196" t="s">
        <v>34</v>
      </c>
      <c r="B17" s="307">
        <v>13.9</v>
      </c>
      <c r="C17" s="104">
        <v>22</v>
      </c>
      <c r="D17" s="124" t="s">
        <v>103</v>
      </c>
      <c r="E17" s="106"/>
      <c r="F17" s="12"/>
      <c r="G17" s="12"/>
      <c r="H17" s="107">
        <f t="shared" si="2"/>
        <v>50000</v>
      </c>
      <c r="I17" s="108">
        <f t="shared" si="1"/>
        <v>50000</v>
      </c>
      <c r="J17" s="118"/>
      <c r="K17" s="118"/>
      <c r="L17" s="118"/>
      <c r="M17" s="119"/>
    </row>
    <row r="18" spans="1:13" s="113" customFormat="1" ht="18" customHeight="1">
      <c r="A18" s="196"/>
      <c r="B18" s="307"/>
      <c r="C18" s="104"/>
      <c r="D18" s="124"/>
      <c r="E18" s="12"/>
      <c r="F18" s="104"/>
      <c r="G18" s="104"/>
      <c r="H18" s="107">
        <f t="shared" si="2"/>
        <v>0</v>
      </c>
      <c r="I18" s="108">
        <f t="shared" si="1"/>
        <v>0</v>
      </c>
      <c r="J18" s="119"/>
      <c r="K18" s="119"/>
      <c r="L18" s="119"/>
      <c r="M18" s="119"/>
    </row>
    <row r="19" spans="1:13" s="113" customFormat="1" ht="18" customHeight="1">
      <c r="A19" s="196"/>
      <c r="B19" s="307"/>
      <c r="C19" s="104"/>
      <c r="D19" s="105"/>
      <c r="E19" s="106"/>
      <c r="F19" s="104"/>
      <c r="G19" s="104"/>
      <c r="H19" s="107">
        <f t="shared" si="2"/>
        <v>0</v>
      </c>
      <c r="I19" s="108">
        <f t="shared" si="1"/>
        <v>0</v>
      </c>
      <c r="J19" s="119"/>
      <c r="K19" s="119"/>
      <c r="L19" s="119"/>
      <c r="M19" s="119"/>
    </row>
    <row r="20" spans="1:9" s="88" customFormat="1" ht="18" customHeight="1">
      <c r="A20" s="196"/>
      <c r="B20" s="307"/>
      <c r="C20" s="104"/>
      <c r="D20" s="124"/>
      <c r="E20" s="106"/>
      <c r="F20" s="12"/>
      <c r="G20" s="12"/>
      <c r="H20" s="107">
        <f t="shared" si="2"/>
        <v>0</v>
      </c>
      <c r="I20" s="108">
        <f t="shared" si="1"/>
        <v>0</v>
      </c>
    </row>
    <row r="21" spans="1:9" s="88" customFormat="1" ht="18" customHeight="1">
      <c r="A21" s="196"/>
      <c r="B21" s="307"/>
      <c r="C21" s="105"/>
      <c r="D21" s="124"/>
      <c r="E21" s="12"/>
      <c r="F21" s="12"/>
      <c r="G21" s="12"/>
      <c r="H21" s="107">
        <f t="shared" si="2"/>
        <v>0</v>
      </c>
      <c r="I21" s="108">
        <f t="shared" si="1"/>
        <v>0</v>
      </c>
    </row>
    <row r="22" spans="1:9" s="88" customFormat="1" ht="18" customHeight="1">
      <c r="A22" s="196"/>
      <c r="B22" s="307"/>
      <c r="C22" s="104"/>
      <c r="D22" s="105"/>
      <c r="E22" s="106"/>
      <c r="F22" s="12"/>
      <c r="G22" s="12"/>
      <c r="H22" s="107">
        <f t="shared" si="2"/>
        <v>0</v>
      </c>
      <c r="I22" s="108">
        <f t="shared" si="1"/>
        <v>0</v>
      </c>
    </row>
    <row r="23" spans="1:9" s="88" customFormat="1" ht="18" customHeight="1">
      <c r="A23" s="196"/>
      <c r="B23" s="307"/>
      <c r="C23" s="104"/>
      <c r="D23" s="105"/>
      <c r="E23" s="106"/>
      <c r="F23" s="12"/>
      <c r="G23" s="12"/>
      <c r="H23" s="107">
        <f t="shared" si="2"/>
        <v>0</v>
      </c>
      <c r="I23" s="108">
        <f t="shared" si="1"/>
        <v>0</v>
      </c>
    </row>
    <row r="24" spans="1:9" s="88" customFormat="1" ht="18" customHeight="1">
      <c r="A24" s="196"/>
      <c r="B24" s="307"/>
      <c r="C24" s="104"/>
      <c r="D24" s="105"/>
      <c r="E24" s="106"/>
      <c r="F24" s="12"/>
      <c r="G24" s="12"/>
      <c r="H24" s="107">
        <f t="shared" si="2"/>
        <v>0</v>
      </c>
      <c r="I24" s="108">
        <f t="shared" si="1"/>
        <v>0</v>
      </c>
    </row>
    <row r="25" spans="1:9" s="88" customFormat="1" ht="18" customHeight="1">
      <c r="A25" s="196"/>
      <c r="B25" s="307"/>
      <c r="C25" s="124"/>
      <c r="D25" s="124"/>
      <c r="E25" s="12"/>
      <c r="F25" s="12"/>
      <c r="G25" s="12"/>
      <c r="H25" s="107">
        <f t="shared" si="2"/>
        <v>0</v>
      </c>
      <c r="I25" s="108">
        <f t="shared" si="1"/>
        <v>0</v>
      </c>
    </row>
    <row r="26" spans="1:9" s="88" customFormat="1" ht="18" customHeight="1">
      <c r="A26" s="196"/>
      <c r="B26" s="307"/>
      <c r="C26" s="104"/>
      <c r="D26" s="105"/>
      <c r="E26" s="12"/>
      <c r="F26" s="104"/>
      <c r="G26" s="104"/>
      <c r="H26" s="107">
        <f t="shared" si="2"/>
        <v>0</v>
      </c>
      <c r="I26" s="108">
        <f t="shared" si="1"/>
        <v>0</v>
      </c>
    </row>
    <row r="27" spans="1:9" s="88" customFormat="1" ht="18" customHeight="1">
      <c r="A27" s="196"/>
      <c r="B27" s="307"/>
      <c r="C27" s="105"/>
      <c r="D27" s="124"/>
      <c r="E27" s="106"/>
      <c r="F27" s="104"/>
      <c r="G27" s="104"/>
      <c r="H27" s="107">
        <f t="shared" si="2"/>
        <v>0</v>
      </c>
      <c r="I27" s="108">
        <f t="shared" si="1"/>
        <v>0</v>
      </c>
    </row>
    <row r="28" spans="1:9" ht="24" customHeight="1" thickBot="1">
      <c r="A28" s="1"/>
      <c r="B28" s="3"/>
      <c r="C28" s="138"/>
      <c r="D28" s="140">
        <f>SUM(D4:D27)</f>
        <v>0</v>
      </c>
      <c r="E28" s="138"/>
      <c r="F28" s="3"/>
      <c r="G28" s="140">
        <f>SUM(G4:G27)</f>
        <v>39</v>
      </c>
      <c r="H28" s="140">
        <f>SUM(H4:H27)</f>
        <v>5700000</v>
      </c>
      <c r="I28" s="141"/>
    </row>
    <row r="29" ht="18.75" thickTop="1"/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G46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1" width="8.421875" style="0" customWidth="1"/>
    <col min="2" max="3" width="11.421875" style="0" customWidth="1"/>
    <col min="4" max="4" width="33.421875" style="0" customWidth="1"/>
    <col min="5" max="6" width="12.140625" style="0" customWidth="1"/>
    <col min="7" max="7" width="18.28125" style="0" customWidth="1"/>
    <col min="8" max="16384" width="11.421875" style="0" customWidth="1"/>
  </cols>
  <sheetData>
    <row r="1" spans="1:7" ht="28.5">
      <c r="A1" s="515" t="s">
        <v>183</v>
      </c>
      <c r="B1" s="515"/>
      <c r="C1" s="515"/>
      <c r="D1" s="515"/>
      <c r="E1" s="515"/>
      <c r="F1" s="515"/>
      <c r="G1" s="515"/>
    </row>
    <row r="2" spans="1:7" ht="15.75" customHeight="1">
      <c r="A2" s="316"/>
      <c r="B2" s="317"/>
      <c r="C2" s="317"/>
      <c r="D2" s="317"/>
      <c r="E2" s="317"/>
      <c r="F2" s="317"/>
      <c r="G2" s="317"/>
    </row>
    <row r="3" spans="1:7" ht="15.75" customHeight="1">
      <c r="A3" s="516" t="s">
        <v>200</v>
      </c>
      <c r="B3" s="516"/>
      <c r="C3" s="516"/>
      <c r="D3" s="516"/>
      <c r="E3" s="516"/>
      <c r="F3" s="516"/>
      <c r="G3" s="516"/>
    </row>
    <row r="4" spans="1:7" ht="15.75" customHeight="1">
      <c r="A4" s="514" t="s">
        <v>131</v>
      </c>
      <c r="B4" s="514"/>
      <c r="C4" s="514"/>
      <c r="D4" s="514"/>
      <c r="E4" s="514"/>
      <c r="F4" s="514"/>
      <c r="G4" s="514"/>
    </row>
    <row r="5" spans="1:7" s="10" customFormat="1" ht="15.75" customHeight="1">
      <c r="A5" s="319" t="s">
        <v>74</v>
      </c>
      <c r="B5" s="319" t="s">
        <v>132</v>
      </c>
      <c r="C5" s="319" t="s">
        <v>133</v>
      </c>
      <c r="D5" s="319" t="s">
        <v>134</v>
      </c>
      <c r="E5" s="319" t="s">
        <v>135</v>
      </c>
      <c r="F5" s="319" t="s">
        <v>163</v>
      </c>
      <c r="G5" s="319" t="s">
        <v>136</v>
      </c>
    </row>
    <row r="6" spans="1:7" ht="15.75" customHeight="1">
      <c r="A6" s="320">
        <v>42064</v>
      </c>
      <c r="B6" s="321">
        <v>0.4166666666666667</v>
      </c>
      <c r="C6" s="322" t="s">
        <v>103</v>
      </c>
      <c r="D6" s="318" t="s">
        <v>166</v>
      </c>
      <c r="E6" s="322" t="s">
        <v>137</v>
      </c>
      <c r="F6" s="322" t="s">
        <v>164</v>
      </c>
      <c r="G6" s="318" t="s">
        <v>138</v>
      </c>
    </row>
    <row r="7" spans="1:7" ht="15.75" customHeight="1">
      <c r="A7" s="320">
        <v>42071</v>
      </c>
      <c r="B7" s="321">
        <v>0.4166666666666667</v>
      </c>
      <c r="C7" s="322" t="s">
        <v>103</v>
      </c>
      <c r="D7" s="318" t="s">
        <v>193</v>
      </c>
      <c r="E7" s="322" t="s">
        <v>137</v>
      </c>
      <c r="F7" s="322" t="s">
        <v>164</v>
      </c>
      <c r="G7" s="318" t="s">
        <v>138</v>
      </c>
    </row>
    <row r="8" spans="1:7" ht="15.75" customHeight="1">
      <c r="A8" s="517" t="s">
        <v>139</v>
      </c>
      <c r="B8" s="517"/>
      <c r="C8" s="517"/>
      <c r="D8" s="517"/>
      <c r="E8" s="517"/>
      <c r="F8" s="517"/>
      <c r="G8" s="517"/>
    </row>
    <row r="9" spans="1:7" ht="15.75" customHeight="1">
      <c r="A9" s="320">
        <v>42075</v>
      </c>
      <c r="B9" s="321">
        <v>0.6666666666666666</v>
      </c>
      <c r="C9" s="323">
        <v>5000000</v>
      </c>
      <c r="D9" s="318" t="s">
        <v>167</v>
      </c>
      <c r="E9" s="322" t="s">
        <v>137</v>
      </c>
      <c r="F9" s="322" t="s">
        <v>164</v>
      </c>
      <c r="G9" s="318" t="s">
        <v>140</v>
      </c>
    </row>
    <row r="10" spans="1:7" ht="15.75" customHeight="1">
      <c r="A10" s="320">
        <v>42082</v>
      </c>
      <c r="B10" s="321">
        <v>0.6666666666666666</v>
      </c>
      <c r="C10" s="323">
        <v>5000000</v>
      </c>
      <c r="D10" s="318" t="s">
        <v>130</v>
      </c>
      <c r="E10" s="322" t="s">
        <v>137</v>
      </c>
      <c r="F10" s="322" t="s">
        <v>164</v>
      </c>
      <c r="G10" s="318" t="s">
        <v>140</v>
      </c>
    </row>
    <row r="11" spans="1:7" ht="15.75" customHeight="1">
      <c r="A11" s="320">
        <v>42089</v>
      </c>
      <c r="B11" s="321">
        <v>0.6666666666666666</v>
      </c>
      <c r="C11" s="323">
        <v>5000000</v>
      </c>
      <c r="D11" s="318" t="s">
        <v>128</v>
      </c>
      <c r="E11" s="322" t="s">
        <v>137</v>
      </c>
      <c r="F11" s="322" t="s">
        <v>210</v>
      </c>
      <c r="G11" s="318" t="s">
        <v>140</v>
      </c>
    </row>
    <row r="12" spans="1:7" ht="15.75" customHeight="1">
      <c r="A12" s="320">
        <v>42096</v>
      </c>
      <c r="B12" s="324">
        <v>0.3333333333333333</v>
      </c>
      <c r="C12" s="323">
        <v>6000000</v>
      </c>
      <c r="D12" s="318" t="s">
        <v>129</v>
      </c>
      <c r="E12" s="322" t="s">
        <v>137</v>
      </c>
      <c r="F12" s="322" t="s">
        <v>210</v>
      </c>
      <c r="G12" s="326"/>
    </row>
    <row r="13" spans="1:7" ht="15.75" customHeight="1">
      <c r="A13" s="320">
        <v>42103</v>
      </c>
      <c r="B13" s="321">
        <v>0.6666666666666666</v>
      </c>
      <c r="C13" s="323">
        <v>8000000</v>
      </c>
      <c r="D13" s="325" t="s">
        <v>142</v>
      </c>
      <c r="E13" s="322" t="s">
        <v>137</v>
      </c>
      <c r="F13" s="322" t="s">
        <v>211</v>
      </c>
      <c r="G13" s="327" t="s">
        <v>141</v>
      </c>
    </row>
    <row r="14" spans="1:7" ht="15.75" customHeight="1">
      <c r="A14" s="320">
        <v>42110</v>
      </c>
      <c r="B14" s="321">
        <v>0.6666666666666666</v>
      </c>
      <c r="C14" s="323">
        <v>6000000</v>
      </c>
      <c r="D14" s="318" t="s">
        <v>126</v>
      </c>
      <c r="E14" s="322" t="s">
        <v>137</v>
      </c>
      <c r="F14" s="322" t="s">
        <v>212</v>
      </c>
      <c r="G14" s="328"/>
    </row>
    <row r="15" spans="1:7" ht="15.75" customHeight="1">
      <c r="A15" s="320">
        <v>42117</v>
      </c>
      <c r="B15" s="321">
        <v>0.6666666666666666</v>
      </c>
      <c r="C15" s="323">
        <v>6000000</v>
      </c>
      <c r="D15" s="318" t="s">
        <v>125</v>
      </c>
      <c r="E15" s="322" t="s">
        <v>137</v>
      </c>
      <c r="F15" s="322" t="s">
        <v>210</v>
      </c>
      <c r="G15" s="336" t="s">
        <v>170</v>
      </c>
    </row>
    <row r="16" spans="1:7" ht="15.75" customHeight="1">
      <c r="A16" s="320">
        <v>42124</v>
      </c>
      <c r="B16" s="321">
        <v>0.6666666666666666</v>
      </c>
      <c r="C16" s="323">
        <v>6000000</v>
      </c>
      <c r="D16" s="318" t="s">
        <v>194</v>
      </c>
      <c r="E16" s="322" t="s">
        <v>137</v>
      </c>
      <c r="F16" s="322" t="s">
        <v>211</v>
      </c>
      <c r="G16" s="332"/>
    </row>
    <row r="17" spans="1:7" ht="15.75" customHeight="1">
      <c r="A17" s="320">
        <v>42131</v>
      </c>
      <c r="B17" s="321">
        <v>0.6666666666666666</v>
      </c>
      <c r="C17" s="323">
        <v>6000000</v>
      </c>
      <c r="D17" s="318" t="s">
        <v>123</v>
      </c>
      <c r="E17" s="322" t="s">
        <v>143</v>
      </c>
      <c r="F17" s="322" t="s">
        <v>212</v>
      </c>
      <c r="G17" s="329" t="s">
        <v>141</v>
      </c>
    </row>
    <row r="18" spans="1:7" ht="15.75" customHeight="1">
      <c r="A18" s="320">
        <v>42138</v>
      </c>
      <c r="B18" s="324">
        <v>0.3333333333333333</v>
      </c>
      <c r="C18" s="323">
        <v>6000000</v>
      </c>
      <c r="D18" s="318" t="s">
        <v>124</v>
      </c>
      <c r="E18" s="322" t="s">
        <v>137</v>
      </c>
      <c r="F18" s="322" t="s">
        <v>210</v>
      </c>
      <c r="G18" s="337"/>
    </row>
    <row r="19" spans="1:7" ht="15.75" customHeight="1">
      <c r="A19" s="320">
        <v>42145</v>
      </c>
      <c r="B19" s="321">
        <v>0.6666666666666666</v>
      </c>
      <c r="C19" s="323">
        <v>6000000</v>
      </c>
      <c r="D19" s="318" t="s">
        <v>122</v>
      </c>
      <c r="E19" s="322" t="s">
        <v>137</v>
      </c>
      <c r="F19" s="322" t="s">
        <v>211</v>
      </c>
      <c r="G19" s="333"/>
    </row>
    <row r="20" spans="1:7" ht="15.75" customHeight="1">
      <c r="A20" s="320">
        <v>42152</v>
      </c>
      <c r="B20" s="321">
        <v>0.6666666666666666</v>
      </c>
      <c r="C20" s="323">
        <v>6000000</v>
      </c>
      <c r="D20" s="318" t="s">
        <v>187</v>
      </c>
      <c r="E20" s="322" t="s">
        <v>137</v>
      </c>
      <c r="F20" s="322" t="s">
        <v>212</v>
      </c>
      <c r="G20" s="330"/>
    </row>
    <row r="21" spans="1:7" ht="15.75" customHeight="1">
      <c r="A21" s="320">
        <v>42159</v>
      </c>
      <c r="B21" s="321">
        <v>0.6666666666666666</v>
      </c>
      <c r="C21" s="323">
        <v>6000000</v>
      </c>
      <c r="D21" s="318" t="s">
        <v>188</v>
      </c>
      <c r="E21" s="322" t="s">
        <v>137</v>
      </c>
      <c r="F21" s="322" t="s">
        <v>210</v>
      </c>
      <c r="G21" s="326" t="s">
        <v>141</v>
      </c>
    </row>
    <row r="22" spans="1:7" ht="15.75" customHeight="1">
      <c r="A22" s="320">
        <v>42166</v>
      </c>
      <c r="B22" s="321">
        <v>0.6666666666666666</v>
      </c>
      <c r="C22" s="323">
        <v>6000000</v>
      </c>
      <c r="D22" s="318" t="s">
        <v>120</v>
      </c>
      <c r="E22" s="322" t="s">
        <v>137</v>
      </c>
      <c r="F22" s="322" t="s">
        <v>211</v>
      </c>
      <c r="G22" s="334" t="s">
        <v>171</v>
      </c>
    </row>
    <row r="23" spans="1:7" ht="15.75" customHeight="1">
      <c r="A23" s="320">
        <v>42173</v>
      </c>
      <c r="B23" s="321">
        <v>0.6666666666666666</v>
      </c>
      <c r="C23" s="323">
        <v>8000000</v>
      </c>
      <c r="D23" s="325" t="s">
        <v>144</v>
      </c>
      <c r="E23" s="322" t="s">
        <v>143</v>
      </c>
      <c r="F23" s="322" t="s">
        <v>212</v>
      </c>
      <c r="G23" s="329"/>
    </row>
    <row r="24" spans="1:7" ht="15.75" customHeight="1">
      <c r="A24" s="320">
        <v>42180</v>
      </c>
      <c r="B24" s="321">
        <v>0.6666666666666666</v>
      </c>
      <c r="C24" s="323">
        <v>6000000</v>
      </c>
      <c r="D24" s="318" t="s">
        <v>118</v>
      </c>
      <c r="E24" s="322" t="s">
        <v>215</v>
      </c>
      <c r="F24" s="322" t="s">
        <v>210</v>
      </c>
      <c r="G24" s="336" t="s">
        <v>216</v>
      </c>
    </row>
    <row r="25" spans="1:7" ht="15.75" customHeight="1">
      <c r="A25" s="320">
        <v>42187</v>
      </c>
      <c r="B25" s="321">
        <v>0.6666666666666666</v>
      </c>
      <c r="C25" s="323">
        <v>6000000</v>
      </c>
      <c r="D25" s="318" t="s">
        <v>145</v>
      </c>
      <c r="E25" s="322" t="s">
        <v>137</v>
      </c>
      <c r="F25" s="322" t="s">
        <v>211</v>
      </c>
      <c r="G25" s="327" t="s">
        <v>141</v>
      </c>
    </row>
    <row r="26" spans="1:7" ht="15.75" customHeight="1">
      <c r="A26" s="320">
        <v>42194</v>
      </c>
      <c r="B26" s="321">
        <v>0.6666666666666666</v>
      </c>
      <c r="C26" s="323">
        <v>6000000</v>
      </c>
      <c r="D26" s="318" t="s">
        <v>117</v>
      </c>
      <c r="E26" s="322" t="s">
        <v>137</v>
      </c>
      <c r="F26" s="322" t="s">
        <v>212</v>
      </c>
      <c r="G26" s="329"/>
    </row>
    <row r="27" spans="1:7" ht="15.75" customHeight="1">
      <c r="A27" s="320">
        <v>42201</v>
      </c>
      <c r="B27" s="321">
        <v>0.6666666666666666</v>
      </c>
      <c r="C27" s="323">
        <v>8000000</v>
      </c>
      <c r="D27" s="325" t="s">
        <v>146</v>
      </c>
      <c r="E27" s="322" t="s">
        <v>143</v>
      </c>
      <c r="F27" s="322" t="s">
        <v>210</v>
      </c>
      <c r="G27" s="337"/>
    </row>
    <row r="28" spans="1:7" ht="15.75" customHeight="1">
      <c r="A28" s="320">
        <v>42208</v>
      </c>
      <c r="B28" s="321">
        <v>0.6666666666666666</v>
      </c>
      <c r="C28" s="323">
        <v>6000000</v>
      </c>
      <c r="D28" s="318" t="s">
        <v>115</v>
      </c>
      <c r="E28" s="322" t="s">
        <v>137</v>
      </c>
      <c r="F28" s="322" t="s">
        <v>211</v>
      </c>
      <c r="G28" s="334" t="s">
        <v>214</v>
      </c>
    </row>
    <row r="29" spans="1:7" ht="15.75" customHeight="1">
      <c r="A29" s="320">
        <v>42215</v>
      </c>
      <c r="B29" s="321">
        <v>0.6666666666666666</v>
      </c>
      <c r="C29" s="323">
        <v>6000000</v>
      </c>
      <c r="D29" s="318" t="s">
        <v>190</v>
      </c>
      <c r="E29" s="322" t="s">
        <v>137</v>
      </c>
      <c r="F29" s="322" t="s">
        <v>212</v>
      </c>
      <c r="G29" s="330"/>
    </row>
    <row r="30" spans="1:7" ht="15.75" customHeight="1">
      <c r="A30" s="320">
        <v>42222</v>
      </c>
      <c r="B30" s="321">
        <v>0.6666666666666666</v>
      </c>
      <c r="C30" s="323">
        <v>6000000</v>
      </c>
      <c r="D30" s="318" t="s">
        <v>189</v>
      </c>
      <c r="E30" s="322" t="s">
        <v>137</v>
      </c>
      <c r="F30" s="322" t="s">
        <v>210</v>
      </c>
      <c r="G30" s="326" t="s">
        <v>141</v>
      </c>
    </row>
    <row r="31" spans="1:7" ht="15.75" customHeight="1">
      <c r="A31" s="320">
        <v>42229</v>
      </c>
      <c r="B31" s="321">
        <v>0.6666666666666666</v>
      </c>
      <c r="C31" s="323">
        <v>8000000</v>
      </c>
      <c r="D31" s="325" t="s">
        <v>148</v>
      </c>
      <c r="E31" s="322" t="s">
        <v>143</v>
      </c>
      <c r="F31" s="322" t="s">
        <v>211</v>
      </c>
      <c r="G31" s="335"/>
    </row>
    <row r="32" spans="1:7" ht="15.75" customHeight="1">
      <c r="A32" s="320">
        <v>42236</v>
      </c>
      <c r="B32" s="321">
        <v>0.6666666666666666</v>
      </c>
      <c r="C32" s="323">
        <v>6000000</v>
      </c>
      <c r="D32" s="318" t="s">
        <v>191</v>
      </c>
      <c r="E32" s="322" t="s">
        <v>137</v>
      </c>
      <c r="F32" s="322" t="s">
        <v>212</v>
      </c>
      <c r="G32" s="331"/>
    </row>
    <row r="33" spans="1:7" ht="15.75" customHeight="1">
      <c r="A33" s="320">
        <v>42243</v>
      </c>
      <c r="B33" s="321">
        <v>0.6666666666666666</v>
      </c>
      <c r="C33" s="323">
        <v>6000000</v>
      </c>
      <c r="D33" s="455" t="s">
        <v>110</v>
      </c>
      <c r="E33" s="322" t="s">
        <v>137</v>
      </c>
      <c r="F33" s="322" t="s">
        <v>210</v>
      </c>
      <c r="G33" s="336" t="s">
        <v>172</v>
      </c>
    </row>
    <row r="34" spans="1:7" ht="15.75" customHeight="1">
      <c r="A34" s="320">
        <v>42250</v>
      </c>
      <c r="B34" s="321">
        <v>0.6666666666666666</v>
      </c>
      <c r="C34" s="323">
        <v>6000000</v>
      </c>
      <c r="D34" s="318" t="s">
        <v>109</v>
      </c>
      <c r="E34" s="322" t="s">
        <v>137</v>
      </c>
      <c r="F34" s="322" t="s">
        <v>211</v>
      </c>
      <c r="G34" s="327" t="s">
        <v>141</v>
      </c>
    </row>
    <row r="35" spans="1:7" ht="15.75" customHeight="1">
      <c r="A35" s="320">
        <v>42257</v>
      </c>
      <c r="B35" s="321">
        <v>0.6666666666666666</v>
      </c>
      <c r="C35" s="323">
        <v>6000000</v>
      </c>
      <c r="D35" s="318" t="s">
        <v>169</v>
      </c>
      <c r="E35" s="322" t="s">
        <v>137</v>
      </c>
      <c r="F35" s="322" t="s">
        <v>212</v>
      </c>
      <c r="G35" s="329"/>
    </row>
    <row r="36" spans="1:7" ht="15.75" customHeight="1">
      <c r="A36" s="517" t="s">
        <v>149</v>
      </c>
      <c r="B36" s="517"/>
      <c r="C36" s="517"/>
      <c r="D36" s="517"/>
      <c r="E36" s="517"/>
      <c r="F36" s="517"/>
      <c r="G36" s="517"/>
    </row>
    <row r="37" spans="1:7" ht="15.75" customHeight="1">
      <c r="A37" s="320">
        <v>42264</v>
      </c>
      <c r="B37" s="321">
        <v>0.6666666666666666</v>
      </c>
      <c r="C37" s="323">
        <v>6000000</v>
      </c>
      <c r="D37" s="318" t="s">
        <v>102</v>
      </c>
      <c r="E37" s="322" t="s">
        <v>137</v>
      </c>
      <c r="F37" s="322" t="s">
        <v>210</v>
      </c>
      <c r="G37" s="326" t="s">
        <v>140</v>
      </c>
    </row>
    <row r="38" spans="1:7" ht="15.75" customHeight="1">
      <c r="A38" s="320">
        <v>42271</v>
      </c>
      <c r="B38" s="321">
        <v>0.6666666666666666</v>
      </c>
      <c r="C38" s="323">
        <v>7000000</v>
      </c>
      <c r="D38" s="318" t="s">
        <v>168</v>
      </c>
      <c r="E38" s="322" t="s">
        <v>137</v>
      </c>
      <c r="F38" s="322" t="s">
        <v>211</v>
      </c>
      <c r="G38" s="327" t="s">
        <v>140</v>
      </c>
    </row>
    <row r="39" spans="1:7" ht="15.75" customHeight="1">
      <c r="A39" s="320">
        <v>42278</v>
      </c>
      <c r="B39" s="321">
        <v>0.6666666666666666</v>
      </c>
      <c r="C39" s="323">
        <v>8000000</v>
      </c>
      <c r="D39" s="318" t="s">
        <v>199</v>
      </c>
      <c r="E39" s="322" t="s">
        <v>137</v>
      </c>
      <c r="F39" s="322" t="s">
        <v>212</v>
      </c>
      <c r="G39" s="329" t="s">
        <v>141</v>
      </c>
    </row>
    <row r="40" spans="1:7" ht="15.75" customHeight="1">
      <c r="A40" s="320">
        <v>42285</v>
      </c>
      <c r="B40" s="321">
        <v>0.6666666666666666</v>
      </c>
      <c r="C40" s="323">
        <v>9000000</v>
      </c>
      <c r="D40" s="318" t="s">
        <v>198</v>
      </c>
      <c r="E40" s="322" t="s">
        <v>137</v>
      </c>
      <c r="F40" s="322" t="s">
        <v>210</v>
      </c>
      <c r="G40" s="326" t="s">
        <v>140</v>
      </c>
    </row>
    <row r="41" spans="1:7" ht="15.75" customHeight="1">
      <c r="A41" s="320">
        <v>42287</v>
      </c>
      <c r="B41" s="321">
        <v>0.3333333333333333</v>
      </c>
      <c r="C41" s="323">
        <v>10000000</v>
      </c>
      <c r="D41" s="318" t="s">
        <v>184</v>
      </c>
      <c r="E41" s="322" t="s">
        <v>137</v>
      </c>
      <c r="F41" s="322" t="s">
        <v>213</v>
      </c>
      <c r="G41" s="327" t="s">
        <v>150</v>
      </c>
    </row>
    <row r="42" spans="1:7" ht="15.75" customHeight="1">
      <c r="A42" s="514" t="s">
        <v>151</v>
      </c>
      <c r="B42" s="514"/>
      <c r="C42" s="514"/>
      <c r="D42" s="514"/>
      <c r="E42" s="514"/>
      <c r="F42" s="514"/>
      <c r="G42" s="514"/>
    </row>
    <row r="43" spans="1:7" ht="15.75" customHeight="1">
      <c r="A43" s="320">
        <v>42154</v>
      </c>
      <c r="B43" s="322" t="s">
        <v>152</v>
      </c>
      <c r="C43" s="322" t="s">
        <v>153</v>
      </c>
      <c r="D43" s="318" t="s">
        <v>268</v>
      </c>
      <c r="E43" s="322" t="s">
        <v>154</v>
      </c>
      <c r="F43" s="322"/>
      <c r="G43" s="326" t="s">
        <v>155</v>
      </c>
    </row>
    <row r="44" spans="1:7" ht="15.75" customHeight="1">
      <c r="A44" s="320">
        <v>42245</v>
      </c>
      <c r="B44" s="321" t="s">
        <v>197</v>
      </c>
      <c r="C44" s="322" t="s">
        <v>153</v>
      </c>
      <c r="D44" s="318" t="s">
        <v>285</v>
      </c>
      <c r="E44" s="322" t="s">
        <v>154</v>
      </c>
      <c r="F44" s="322"/>
      <c r="G44" s="327" t="s">
        <v>155</v>
      </c>
    </row>
    <row r="45" spans="1:7" ht="15.75" customHeight="1">
      <c r="A45" s="514" t="s">
        <v>156</v>
      </c>
      <c r="B45" s="514"/>
      <c r="C45" s="514"/>
      <c r="D45" s="514"/>
      <c r="E45" s="514"/>
      <c r="F45" s="514"/>
      <c r="G45" s="514"/>
    </row>
    <row r="46" spans="1:7" ht="15.75" customHeight="1">
      <c r="A46" s="320">
        <v>42299</v>
      </c>
      <c r="B46" s="320">
        <v>42303</v>
      </c>
      <c r="C46" s="318"/>
      <c r="D46" s="318" t="s">
        <v>157</v>
      </c>
      <c r="E46" s="318"/>
      <c r="F46" s="318"/>
      <c r="G46" s="318" t="s">
        <v>158</v>
      </c>
    </row>
  </sheetData>
  <sheetProtection selectLockedCells="1" selectUnlockedCells="1"/>
  <mergeCells count="7">
    <mergeCell ref="A45:G45"/>
    <mergeCell ref="A1:G1"/>
    <mergeCell ref="A3:G3"/>
    <mergeCell ref="A4:G4"/>
    <mergeCell ref="A8:G8"/>
    <mergeCell ref="A36:G36"/>
    <mergeCell ref="A42:G42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75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F46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8.421875" style="0" customWidth="1"/>
    <col min="2" max="3" width="11.421875" style="0" customWidth="1"/>
    <col min="4" max="4" width="43.00390625" style="0" customWidth="1"/>
    <col min="5" max="5" width="12.140625" style="0" customWidth="1"/>
    <col min="6" max="6" width="18.28125" style="0" customWidth="1"/>
    <col min="7" max="16384" width="11.421875" style="0" customWidth="1"/>
  </cols>
  <sheetData>
    <row r="1" spans="1:6" ht="28.5">
      <c r="A1" s="519" t="s">
        <v>183</v>
      </c>
      <c r="B1" s="519"/>
      <c r="C1" s="519"/>
      <c r="D1" s="519"/>
      <c r="E1" s="519"/>
      <c r="F1" s="519"/>
    </row>
    <row r="2" spans="1:6" ht="15.75" customHeight="1">
      <c r="A2" s="156"/>
      <c r="B2" s="157"/>
      <c r="C2" s="157"/>
      <c r="D2" s="157"/>
      <c r="E2" s="157"/>
      <c r="F2" s="157"/>
    </row>
    <row r="3" spans="1:6" ht="15.75" customHeight="1">
      <c r="A3" s="520" t="s">
        <v>200</v>
      </c>
      <c r="B3" s="520"/>
      <c r="C3" s="520"/>
      <c r="D3" s="520"/>
      <c r="E3" s="520"/>
      <c r="F3" s="520"/>
    </row>
    <row r="4" spans="1:6" ht="15.75" customHeight="1">
      <c r="A4" s="518" t="s">
        <v>131</v>
      </c>
      <c r="B4" s="518"/>
      <c r="C4" s="518"/>
      <c r="D4" s="518"/>
      <c r="E4" s="518"/>
      <c r="F4" s="518"/>
    </row>
    <row r="5" spans="1:6" s="10" customFormat="1" ht="15.75" customHeight="1">
      <c r="A5" s="158" t="s">
        <v>74</v>
      </c>
      <c r="B5" s="158" t="s">
        <v>132</v>
      </c>
      <c r="C5" s="158" t="s">
        <v>133</v>
      </c>
      <c r="D5" s="158" t="s">
        <v>134</v>
      </c>
      <c r="E5" s="158" t="s">
        <v>135</v>
      </c>
      <c r="F5" s="158" t="s">
        <v>136</v>
      </c>
    </row>
    <row r="6" spans="1:6" ht="15.75" customHeight="1">
      <c r="A6" s="159">
        <v>42064</v>
      </c>
      <c r="B6" s="163">
        <v>0.4166666666666667</v>
      </c>
      <c r="C6" s="161" t="s">
        <v>103</v>
      </c>
      <c r="D6" s="162" t="s">
        <v>166</v>
      </c>
      <c r="E6" s="161" t="s">
        <v>137</v>
      </c>
      <c r="F6" s="162" t="s">
        <v>138</v>
      </c>
    </row>
    <row r="7" spans="1:6" ht="15.75" customHeight="1">
      <c r="A7" s="159">
        <v>42071</v>
      </c>
      <c r="B7" s="163">
        <v>0.4166666666666667</v>
      </c>
      <c r="C7" s="161" t="s">
        <v>103</v>
      </c>
      <c r="D7" s="162" t="s">
        <v>193</v>
      </c>
      <c r="E7" s="161" t="s">
        <v>137</v>
      </c>
      <c r="F7" s="162" t="s">
        <v>138</v>
      </c>
    </row>
    <row r="8" spans="1:6" ht="15.75" customHeight="1">
      <c r="A8" s="521" t="s">
        <v>139</v>
      </c>
      <c r="B8" s="521"/>
      <c r="C8" s="521"/>
      <c r="D8" s="521"/>
      <c r="E8" s="521"/>
      <c r="F8" s="521"/>
    </row>
    <row r="9" spans="1:6" ht="15.75" customHeight="1">
      <c r="A9" s="159">
        <v>42075</v>
      </c>
      <c r="B9" s="163">
        <v>0.6666666666666666</v>
      </c>
      <c r="C9" s="164">
        <v>5000000</v>
      </c>
      <c r="D9" s="162" t="s">
        <v>167</v>
      </c>
      <c r="E9" s="161" t="s">
        <v>137</v>
      </c>
      <c r="F9" s="162" t="s">
        <v>140</v>
      </c>
    </row>
    <row r="10" spans="1:6" ht="15.75" customHeight="1">
      <c r="A10" s="159">
        <v>42082</v>
      </c>
      <c r="B10" s="163">
        <v>0.6666666666666666</v>
      </c>
      <c r="C10" s="164">
        <v>5000000</v>
      </c>
      <c r="D10" s="162" t="s">
        <v>130</v>
      </c>
      <c r="E10" s="161" t="s">
        <v>137</v>
      </c>
      <c r="F10" s="162" t="s">
        <v>140</v>
      </c>
    </row>
    <row r="11" spans="1:6" ht="15.75" customHeight="1">
      <c r="A11" s="159">
        <v>42089</v>
      </c>
      <c r="B11" s="163">
        <v>0.6666666666666666</v>
      </c>
      <c r="C11" s="164">
        <v>5000000</v>
      </c>
      <c r="D11" s="162" t="s">
        <v>128</v>
      </c>
      <c r="E11" s="161" t="s">
        <v>137</v>
      </c>
      <c r="F11" s="162" t="s">
        <v>140</v>
      </c>
    </row>
    <row r="12" spans="1:6" ht="15.75" customHeight="1">
      <c r="A12" s="159">
        <v>42096</v>
      </c>
      <c r="B12" s="312">
        <v>0.3333333333333333</v>
      </c>
      <c r="C12" s="164">
        <v>6000000</v>
      </c>
      <c r="D12" s="162" t="s">
        <v>129</v>
      </c>
      <c r="E12" s="161" t="s">
        <v>137</v>
      </c>
      <c r="F12" s="162"/>
    </row>
    <row r="13" spans="1:6" ht="15.75" customHeight="1">
      <c r="A13" s="159">
        <v>42103</v>
      </c>
      <c r="B13" s="163">
        <v>0.6666666666666666</v>
      </c>
      <c r="C13" s="164">
        <v>8000000</v>
      </c>
      <c r="D13" s="165" t="s">
        <v>142</v>
      </c>
      <c r="E13" s="161" t="s">
        <v>137</v>
      </c>
      <c r="F13" s="162" t="s">
        <v>141</v>
      </c>
    </row>
    <row r="14" spans="1:5" ht="15.75" customHeight="1">
      <c r="A14" s="159">
        <v>42110</v>
      </c>
      <c r="B14" s="163">
        <v>0.6666666666666666</v>
      </c>
      <c r="C14" s="164">
        <v>6000000</v>
      </c>
      <c r="D14" s="162" t="s">
        <v>126</v>
      </c>
      <c r="E14" s="161" t="s">
        <v>137</v>
      </c>
    </row>
    <row r="15" spans="1:6" ht="15.75" customHeight="1">
      <c r="A15" s="159">
        <v>42117</v>
      </c>
      <c r="B15" s="163">
        <v>0.6666666666666666</v>
      </c>
      <c r="C15" s="164">
        <v>6000000</v>
      </c>
      <c r="D15" s="162" t="s">
        <v>125</v>
      </c>
      <c r="E15" s="161" t="s">
        <v>137</v>
      </c>
      <c r="F15" s="313" t="s">
        <v>170</v>
      </c>
    </row>
    <row r="16" spans="1:5" ht="15.75" customHeight="1">
      <c r="A16" s="159">
        <v>42124</v>
      </c>
      <c r="B16" s="163">
        <v>0.6666666666666666</v>
      </c>
      <c r="C16" s="164">
        <v>6000000</v>
      </c>
      <c r="D16" s="162" t="s">
        <v>194</v>
      </c>
      <c r="E16" s="161" t="s">
        <v>137</v>
      </c>
    </row>
    <row r="17" spans="1:6" ht="15.75" customHeight="1">
      <c r="A17" s="159">
        <v>42131</v>
      </c>
      <c r="B17" s="163">
        <v>0.6666666666666666</v>
      </c>
      <c r="C17" s="164">
        <v>6000000</v>
      </c>
      <c r="D17" s="162" t="s">
        <v>123</v>
      </c>
      <c r="E17" s="161" t="s">
        <v>143</v>
      </c>
      <c r="F17" s="162" t="s">
        <v>141</v>
      </c>
    </row>
    <row r="18" spans="1:5" ht="15.75" customHeight="1">
      <c r="A18" s="159">
        <v>42138</v>
      </c>
      <c r="B18" s="312">
        <v>0.3333333333333333</v>
      </c>
      <c r="C18" s="164">
        <v>6000000</v>
      </c>
      <c r="D18" s="162" t="s">
        <v>124</v>
      </c>
      <c r="E18" s="161" t="s">
        <v>137</v>
      </c>
    </row>
    <row r="19" spans="1:6" ht="15.75" customHeight="1">
      <c r="A19" s="159">
        <v>42145</v>
      </c>
      <c r="B19" s="163">
        <v>0.6666666666666666</v>
      </c>
      <c r="C19" s="164">
        <v>6000000</v>
      </c>
      <c r="D19" s="162" t="s">
        <v>122</v>
      </c>
      <c r="E19" s="161" t="s">
        <v>137</v>
      </c>
      <c r="F19" s="313" t="s">
        <v>171</v>
      </c>
    </row>
    <row r="20" spans="1:6" ht="15.75" customHeight="1">
      <c r="A20" s="159">
        <v>42152</v>
      </c>
      <c r="B20" s="163">
        <v>0.6666666666666666</v>
      </c>
      <c r="C20" s="164">
        <v>6000000</v>
      </c>
      <c r="D20" s="162" t="s">
        <v>187</v>
      </c>
      <c r="E20" s="161" t="s">
        <v>137</v>
      </c>
      <c r="F20" s="162"/>
    </row>
    <row r="21" spans="1:6" ht="15.75" customHeight="1">
      <c r="A21" s="159">
        <v>42159</v>
      </c>
      <c r="B21" s="163">
        <v>0.6666666666666666</v>
      </c>
      <c r="C21" s="164">
        <v>6000000</v>
      </c>
      <c r="D21" s="162" t="s">
        <v>188</v>
      </c>
      <c r="E21" s="161" t="s">
        <v>137</v>
      </c>
      <c r="F21" s="162" t="s">
        <v>141</v>
      </c>
    </row>
    <row r="22" spans="1:6" ht="15.75" customHeight="1">
      <c r="A22" s="159">
        <v>42166</v>
      </c>
      <c r="B22" s="163">
        <v>0.6666666666666666</v>
      </c>
      <c r="C22" s="164">
        <v>6000000</v>
      </c>
      <c r="D22" s="162" t="s">
        <v>120</v>
      </c>
      <c r="E22" s="161" t="s">
        <v>137</v>
      </c>
      <c r="F22" s="162"/>
    </row>
    <row r="23" spans="1:6" ht="15.75" customHeight="1">
      <c r="A23" s="159">
        <v>42173</v>
      </c>
      <c r="B23" s="163">
        <v>0.6666666666666666</v>
      </c>
      <c r="C23" s="164">
        <v>8000000</v>
      </c>
      <c r="D23" s="165" t="s">
        <v>144</v>
      </c>
      <c r="E23" s="161" t="s">
        <v>143</v>
      </c>
      <c r="F23" s="162"/>
    </row>
    <row r="24" spans="1:6" ht="15.75" customHeight="1">
      <c r="A24" s="159">
        <v>42180</v>
      </c>
      <c r="B24" s="163">
        <v>0.6666666666666666</v>
      </c>
      <c r="C24" s="164">
        <v>6000000</v>
      </c>
      <c r="D24" s="162" t="s">
        <v>118</v>
      </c>
      <c r="E24" s="161" t="s">
        <v>137</v>
      </c>
      <c r="F24" s="162"/>
    </row>
    <row r="25" spans="1:6" ht="15.75" customHeight="1">
      <c r="A25" s="159">
        <v>42187</v>
      </c>
      <c r="B25" s="163">
        <v>0.6666666666666666</v>
      </c>
      <c r="C25" s="164">
        <v>6000000</v>
      </c>
      <c r="D25" s="162" t="s">
        <v>145</v>
      </c>
      <c r="E25" s="161" t="s">
        <v>137</v>
      </c>
      <c r="F25" s="162" t="s">
        <v>141</v>
      </c>
    </row>
    <row r="26" spans="1:6" ht="15.75" customHeight="1">
      <c r="A26" s="159">
        <v>42194</v>
      </c>
      <c r="B26" s="163">
        <v>0.6666666666666666</v>
      </c>
      <c r="C26" s="164">
        <v>6000000</v>
      </c>
      <c r="D26" s="162" t="s">
        <v>117</v>
      </c>
      <c r="E26" s="161" t="s">
        <v>137</v>
      </c>
      <c r="F26" s="162"/>
    </row>
    <row r="27" spans="1:5" ht="15.75" customHeight="1">
      <c r="A27" s="159">
        <v>42201</v>
      </c>
      <c r="B27" s="163">
        <v>0.6666666666666666</v>
      </c>
      <c r="C27" s="164">
        <v>8000000</v>
      </c>
      <c r="D27" s="165" t="s">
        <v>146</v>
      </c>
      <c r="E27" s="161" t="s">
        <v>143</v>
      </c>
    </row>
    <row r="28" spans="1:6" ht="15.75" customHeight="1">
      <c r="A28" s="159">
        <v>42208</v>
      </c>
      <c r="B28" s="163">
        <v>0.6666666666666666</v>
      </c>
      <c r="C28" s="164">
        <v>6000000</v>
      </c>
      <c r="D28" s="162" t="s">
        <v>115</v>
      </c>
      <c r="E28" s="161" t="s">
        <v>137</v>
      </c>
      <c r="F28" s="207"/>
    </row>
    <row r="29" spans="1:6" ht="15.75" customHeight="1">
      <c r="A29" s="159">
        <v>42215</v>
      </c>
      <c r="B29" s="163">
        <v>0.6666666666666666</v>
      </c>
      <c r="C29" s="164">
        <v>6000000</v>
      </c>
      <c r="D29" s="162" t="s">
        <v>190</v>
      </c>
      <c r="E29" s="161" t="s">
        <v>137</v>
      </c>
      <c r="F29" s="207"/>
    </row>
    <row r="30" spans="1:6" ht="15.75" customHeight="1">
      <c r="A30" s="159">
        <v>42222</v>
      </c>
      <c r="B30" s="163">
        <v>0.6666666666666666</v>
      </c>
      <c r="C30" s="164">
        <v>6000000</v>
      </c>
      <c r="D30" s="162" t="s">
        <v>189</v>
      </c>
      <c r="E30" s="161" t="s">
        <v>137</v>
      </c>
      <c r="F30" s="162" t="s">
        <v>141</v>
      </c>
    </row>
    <row r="31" spans="1:5" ht="15.75" customHeight="1">
      <c r="A31" s="159">
        <v>42229</v>
      </c>
      <c r="B31" s="163">
        <v>0.6666666666666666</v>
      </c>
      <c r="C31" s="164">
        <v>8000000</v>
      </c>
      <c r="D31" s="165" t="s">
        <v>148</v>
      </c>
      <c r="E31" s="161" t="s">
        <v>143</v>
      </c>
    </row>
    <row r="32" spans="1:6" ht="15.75" customHeight="1">
      <c r="A32" s="159">
        <v>42236</v>
      </c>
      <c r="B32" s="163">
        <v>0.6666666666666666</v>
      </c>
      <c r="C32" s="164">
        <v>6000000</v>
      </c>
      <c r="D32" s="162" t="s">
        <v>191</v>
      </c>
      <c r="E32" s="161" t="s">
        <v>147</v>
      </c>
      <c r="F32" s="313" t="s">
        <v>173</v>
      </c>
    </row>
    <row r="33" spans="1:6" ht="15.75" customHeight="1">
      <c r="A33" s="159">
        <v>42243</v>
      </c>
      <c r="B33" s="163">
        <v>0.6666666666666666</v>
      </c>
      <c r="C33" s="164">
        <v>6000000</v>
      </c>
      <c r="D33" s="162" t="s">
        <v>110</v>
      </c>
      <c r="E33" s="161" t="s">
        <v>137</v>
      </c>
      <c r="F33" s="313" t="s">
        <v>172</v>
      </c>
    </row>
    <row r="34" spans="1:6" ht="15.75" customHeight="1">
      <c r="A34" s="159">
        <v>42250</v>
      </c>
      <c r="B34" s="163">
        <v>0.6666666666666666</v>
      </c>
      <c r="C34" s="164">
        <v>6000000</v>
      </c>
      <c r="D34" s="162" t="s">
        <v>109</v>
      </c>
      <c r="E34" s="161" t="s">
        <v>137</v>
      </c>
      <c r="F34" s="162" t="s">
        <v>141</v>
      </c>
    </row>
    <row r="35" spans="1:6" ht="15.75" customHeight="1">
      <c r="A35" s="159">
        <v>42257</v>
      </c>
      <c r="B35" s="163">
        <v>0.6666666666666666</v>
      </c>
      <c r="C35" s="164">
        <v>6000000</v>
      </c>
      <c r="D35" s="162" t="s">
        <v>169</v>
      </c>
      <c r="E35" s="161" t="s">
        <v>137</v>
      </c>
      <c r="F35" s="162"/>
    </row>
    <row r="36" spans="1:6" ht="15.75" customHeight="1">
      <c r="A36" s="521" t="s">
        <v>149</v>
      </c>
      <c r="B36" s="521"/>
      <c r="C36" s="521"/>
      <c r="D36" s="521"/>
      <c r="E36" s="521"/>
      <c r="F36" s="521"/>
    </row>
    <row r="37" spans="1:6" ht="15.75" customHeight="1">
      <c r="A37" s="159">
        <v>42264</v>
      </c>
      <c r="B37" s="163">
        <v>0.6666666666666666</v>
      </c>
      <c r="C37" s="164">
        <v>6000000</v>
      </c>
      <c r="D37" s="162" t="s">
        <v>102</v>
      </c>
      <c r="E37" s="161" t="s">
        <v>137</v>
      </c>
      <c r="F37" s="162" t="s">
        <v>140</v>
      </c>
    </row>
    <row r="38" spans="1:6" ht="15.75" customHeight="1">
      <c r="A38" s="159">
        <v>42271</v>
      </c>
      <c r="B38" s="163">
        <v>0.6666666666666666</v>
      </c>
      <c r="C38" s="164">
        <v>7000000</v>
      </c>
      <c r="D38" s="162" t="s">
        <v>168</v>
      </c>
      <c r="E38" s="161" t="s">
        <v>137</v>
      </c>
      <c r="F38" s="162" t="s">
        <v>140</v>
      </c>
    </row>
    <row r="39" spans="1:6" ht="15.75" customHeight="1">
      <c r="A39" s="159">
        <v>42278</v>
      </c>
      <c r="B39" s="163">
        <v>0.6666666666666666</v>
      </c>
      <c r="C39" s="164">
        <v>8000000</v>
      </c>
      <c r="D39" s="162" t="s">
        <v>199</v>
      </c>
      <c r="E39" s="161" t="s">
        <v>137</v>
      </c>
      <c r="F39" s="162" t="s">
        <v>140</v>
      </c>
    </row>
    <row r="40" spans="1:6" ht="15.75" customHeight="1">
      <c r="A40" s="159">
        <v>42285</v>
      </c>
      <c r="B40" s="163">
        <v>0.6666666666666666</v>
      </c>
      <c r="C40" s="164">
        <v>9000000</v>
      </c>
      <c r="D40" s="162" t="s">
        <v>198</v>
      </c>
      <c r="E40" s="161" t="s">
        <v>137</v>
      </c>
      <c r="F40" s="162" t="s">
        <v>140</v>
      </c>
    </row>
    <row r="41" spans="1:6" ht="15.75" customHeight="1">
      <c r="A41" s="159">
        <v>42287</v>
      </c>
      <c r="B41" s="163">
        <v>0.3333333333333333</v>
      </c>
      <c r="C41" s="164">
        <v>10000000</v>
      </c>
      <c r="D41" s="162" t="s">
        <v>184</v>
      </c>
      <c r="E41" s="161" t="s">
        <v>137</v>
      </c>
      <c r="F41" s="162" t="s">
        <v>150</v>
      </c>
    </row>
    <row r="42" spans="1:6" ht="15.75" customHeight="1">
      <c r="A42" s="518" t="s">
        <v>151</v>
      </c>
      <c r="B42" s="518"/>
      <c r="C42" s="518"/>
      <c r="D42" s="518"/>
      <c r="E42" s="518"/>
      <c r="F42" s="518"/>
    </row>
    <row r="43" spans="1:6" ht="15.75" customHeight="1">
      <c r="A43" s="159">
        <v>42154</v>
      </c>
      <c r="B43" s="161" t="s">
        <v>152</v>
      </c>
      <c r="C43" s="161" t="s">
        <v>153</v>
      </c>
      <c r="D43" s="162" t="s">
        <v>186</v>
      </c>
      <c r="E43" s="161" t="s">
        <v>154</v>
      </c>
      <c r="F43" s="162" t="s">
        <v>155</v>
      </c>
    </row>
    <row r="44" spans="1:6" ht="15.75" customHeight="1">
      <c r="A44" s="159">
        <v>42245</v>
      </c>
      <c r="B44" s="163" t="s">
        <v>197</v>
      </c>
      <c r="C44" s="161" t="s">
        <v>153</v>
      </c>
      <c r="D44" s="162" t="s">
        <v>186</v>
      </c>
      <c r="E44" s="161" t="s">
        <v>154</v>
      </c>
      <c r="F44" s="162" t="s">
        <v>155</v>
      </c>
    </row>
    <row r="45" spans="1:6" ht="15.75" customHeight="1">
      <c r="A45" s="518" t="s">
        <v>156</v>
      </c>
      <c r="B45" s="518"/>
      <c r="C45" s="518"/>
      <c r="D45" s="518"/>
      <c r="E45" s="518"/>
      <c r="F45" s="518"/>
    </row>
    <row r="46" spans="1:6" ht="15.75" customHeight="1">
      <c r="A46" s="159">
        <v>42299</v>
      </c>
      <c r="B46" s="159">
        <v>42303</v>
      </c>
      <c r="C46" s="162"/>
      <c r="D46" s="162" t="s">
        <v>157</v>
      </c>
      <c r="E46" s="162"/>
      <c r="F46" s="162" t="s">
        <v>158</v>
      </c>
    </row>
  </sheetData>
  <sheetProtection selectLockedCells="1" selectUnlockedCells="1"/>
  <mergeCells count="7">
    <mergeCell ref="A45:F45"/>
    <mergeCell ref="A1:F1"/>
    <mergeCell ref="A3:F3"/>
    <mergeCell ref="A4:F4"/>
    <mergeCell ref="A8:F8"/>
    <mergeCell ref="A36:F36"/>
    <mergeCell ref="A42:F42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3"/>
</worksheet>
</file>

<file path=xl/worksheets/sheet46.xml><?xml version="1.0" encoding="utf-8"?>
<worksheet xmlns="http://schemas.openxmlformats.org/spreadsheetml/2006/main" xmlns:r="http://schemas.openxmlformats.org/officeDocument/2006/relationships">
  <dimension ref="B2:AE55"/>
  <sheetViews>
    <sheetView zoomScalePageLayoutView="0" workbookViewId="0" topLeftCell="A1">
      <selection activeCell="AD19" sqref="AD19"/>
    </sheetView>
  </sheetViews>
  <sheetFormatPr defaultColWidth="11.57421875" defaultRowHeight="12.75"/>
  <cols>
    <col min="1" max="1" width="2.8515625" style="8" customWidth="1"/>
    <col min="2" max="2" width="13.00390625" style="8" customWidth="1"/>
    <col min="3" max="20" width="11.421875" style="8" hidden="1" customWidth="1"/>
    <col min="21" max="21" width="11.421875" style="8" customWidth="1"/>
    <col min="22" max="16384" width="11.421875" style="8" customWidth="1"/>
  </cols>
  <sheetData>
    <row r="2" spans="2:31" ht="15.75">
      <c r="B2" s="265" t="s">
        <v>159</v>
      </c>
      <c r="C2" s="266">
        <v>42096</v>
      </c>
      <c r="D2" s="266">
        <v>42103</v>
      </c>
      <c r="E2" s="266">
        <v>42110</v>
      </c>
      <c r="F2" s="266">
        <v>42117</v>
      </c>
      <c r="G2" s="266">
        <v>42124</v>
      </c>
      <c r="H2" s="266">
        <v>42131</v>
      </c>
      <c r="I2" s="266">
        <v>42138</v>
      </c>
      <c r="J2" s="266">
        <v>42145</v>
      </c>
      <c r="K2" s="266">
        <v>42152</v>
      </c>
      <c r="L2" s="266">
        <v>42159</v>
      </c>
      <c r="M2" s="266">
        <v>42166</v>
      </c>
      <c r="N2" s="266">
        <v>42173</v>
      </c>
      <c r="O2" s="266">
        <v>42180</v>
      </c>
      <c r="P2" s="266">
        <v>42187</v>
      </c>
      <c r="Q2" s="266">
        <v>42194</v>
      </c>
      <c r="R2" s="266">
        <v>42201</v>
      </c>
      <c r="S2" s="266">
        <v>42208</v>
      </c>
      <c r="T2" s="266">
        <v>42215</v>
      </c>
      <c r="U2" s="266">
        <v>42222</v>
      </c>
      <c r="V2" s="266">
        <v>42229</v>
      </c>
      <c r="W2" s="266">
        <v>42236</v>
      </c>
      <c r="X2" s="266">
        <v>42243</v>
      </c>
      <c r="Y2" s="266">
        <v>42250</v>
      </c>
      <c r="Z2" s="266">
        <v>42257</v>
      </c>
      <c r="AA2" s="266">
        <v>42264</v>
      </c>
      <c r="AB2" s="266">
        <v>42271</v>
      </c>
      <c r="AC2" s="266">
        <v>42278</v>
      </c>
      <c r="AD2" s="266">
        <v>42285</v>
      </c>
      <c r="AE2" s="266">
        <v>42287</v>
      </c>
    </row>
    <row r="3" spans="2:31" ht="15.75">
      <c r="B3" s="267">
        <v>0.6666666666666666</v>
      </c>
      <c r="C3" s="268" t="s">
        <v>230</v>
      </c>
      <c r="D3" s="268" t="s">
        <v>238</v>
      </c>
      <c r="E3" s="268" t="s">
        <v>236</v>
      </c>
      <c r="F3" s="268" t="s">
        <v>235</v>
      </c>
      <c r="G3" s="268" t="s">
        <v>13</v>
      </c>
      <c r="H3" s="268" t="s">
        <v>256</v>
      </c>
      <c r="I3" s="268" t="s">
        <v>236</v>
      </c>
      <c r="J3" s="268" t="s">
        <v>242</v>
      </c>
      <c r="K3" s="268" t="s">
        <v>239</v>
      </c>
      <c r="L3" s="268" t="s">
        <v>253</v>
      </c>
      <c r="M3" s="268" t="s">
        <v>230</v>
      </c>
      <c r="N3" s="268" t="s">
        <v>242</v>
      </c>
      <c r="O3" s="268" t="s">
        <v>239</v>
      </c>
      <c r="P3" s="268" t="s">
        <v>238</v>
      </c>
      <c r="Q3" s="268" t="s">
        <v>236</v>
      </c>
      <c r="R3" s="268"/>
      <c r="S3" s="268" t="s">
        <v>247</v>
      </c>
      <c r="T3" s="268"/>
      <c r="U3" s="268" t="s">
        <v>234</v>
      </c>
      <c r="V3" s="268" t="s">
        <v>231</v>
      </c>
      <c r="W3" s="268" t="s">
        <v>235</v>
      </c>
      <c r="X3" s="268" t="s">
        <v>237</v>
      </c>
      <c r="Y3" s="268" t="s">
        <v>236</v>
      </c>
      <c r="Z3" s="268" t="s">
        <v>15</v>
      </c>
      <c r="AA3" s="268" t="s">
        <v>236</v>
      </c>
      <c r="AB3" s="268" t="s">
        <v>233</v>
      </c>
      <c r="AC3" s="268" t="s">
        <v>242</v>
      </c>
      <c r="AD3" s="268" t="s">
        <v>231</v>
      </c>
      <c r="AE3" s="268"/>
    </row>
    <row r="4" spans="2:31" ht="15.75">
      <c r="B4" s="269"/>
      <c r="C4" s="268" t="s">
        <v>231</v>
      </c>
      <c r="D4" s="268" t="s">
        <v>230</v>
      </c>
      <c r="E4" s="268" t="s">
        <v>248</v>
      </c>
      <c r="F4" s="268" t="s">
        <v>230</v>
      </c>
      <c r="G4" s="268" t="s">
        <v>45</v>
      </c>
      <c r="H4" s="268" t="s">
        <v>15</v>
      </c>
      <c r="I4" s="268" t="s">
        <v>13</v>
      </c>
      <c r="J4" s="268" t="s">
        <v>248</v>
      </c>
      <c r="K4" s="268" t="s">
        <v>233</v>
      </c>
      <c r="L4" s="268" t="s">
        <v>13</v>
      </c>
      <c r="M4" s="268" t="s">
        <v>235</v>
      </c>
      <c r="N4" s="268" t="s">
        <v>240</v>
      </c>
      <c r="O4" s="268" t="s">
        <v>233</v>
      </c>
      <c r="P4" s="268" t="s">
        <v>233</v>
      </c>
      <c r="Q4" s="268" t="s">
        <v>233</v>
      </c>
      <c r="R4" s="268"/>
      <c r="S4" s="268"/>
      <c r="T4" s="268"/>
      <c r="U4" s="268" t="s">
        <v>233</v>
      </c>
      <c r="V4" s="268" t="s">
        <v>237</v>
      </c>
      <c r="W4" s="268" t="s">
        <v>242</v>
      </c>
      <c r="X4" s="268" t="s">
        <v>242</v>
      </c>
      <c r="Y4" s="268" t="s">
        <v>254</v>
      </c>
      <c r="Z4" s="268" t="s">
        <v>242</v>
      </c>
      <c r="AA4" s="268" t="s">
        <v>245</v>
      </c>
      <c r="AB4" s="268" t="s">
        <v>245</v>
      </c>
      <c r="AC4" s="268" t="s">
        <v>248</v>
      </c>
      <c r="AD4" s="268" t="s">
        <v>236</v>
      </c>
      <c r="AE4" s="268"/>
    </row>
    <row r="5" spans="2:31" ht="15.75">
      <c r="B5" s="269"/>
      <c r="C5" s="268" t="s">
        <v>232</v>
      </c>
      <c r="D5" s="268" t="s">
        <v>231</v>
      </c>
      <c r="E5" s="268" t="s">
        <v>233</v>
      </c>
      <c r="F5" s="268" t="s">
        <v>253</v>
      </c>
      <c r="G5" s="268" t="s">
        <v>235</v>
      </c>
      <c r="H5" s="268" t="s">
        <v>231</v>
      </c>
      <c r="I5" s="268" t="s">
        <v>244</v>
      </c>
      <c r="J5" s="268" t="s">
        <v>239</v>
      </c>
      <c r="K5" s="268" t="s">
        <v>33</v>
      </c>
      <c r="L5" s="268" t="s">
        <v>233</v>
      </c>
      <c r="M5" s="268" t="s">
        <v>245</v>
      </c>
      <c r="N5" s="268" t="s">
        <v>239</v>
      </c>
      <c r="O5" s="268" t="s">
        <v>254</v>
      </c>
      <c r="P5" s="268" t="s">
        <v>232</v>
      </c>
      <c r="Q5" s="268" t="s">
        <v>15</v>
      </c>
      <c r="R5" s="268"/>
      <c r="S5" s="268"/>
      <c r="T5" s="268"/>
      <c r="U5" s="268" t="s">
        <v>265</v>
      </c>
      <c r="V5" s="268" t="s">
        <v>234</v>
      </c>
      <c r="W5" s="268" t="s">
        <v>233</v>
      </c>
      <c r="X5" s="268" t="s">
        <v>13</v>
      </c>
      <c r="Y5" s="268" t="s">
        <v>15</v>
      </c>
      <c r="Z5" s="268" t="s">
        <v>247</v>
      </c>
      <c r="AA5" s="268" t="s">
        <v>237</v>
      </c>
      <c r="AB5" s="268" t="s">
        <v>15</v>
      </c>
      <c r="AC5" s="268" t="s">
        <v>15</v>
      </c>
      <c r="AD5" s="268" t="s">
        <v>230</v>
      </c>
      <c r="AE5" s="268"/>
    </row>
    <row r="6" spans="2:31" ht="15.75">
      <c r="B6" s="269"/>
      <c r="C6" s="268"/>
      <c r="D6" s="268"/>
      <c r="F6" s="268" t="s">
        <v>233</v>
      </c>
      <c r="G6" s="268" t="s">
        <v>233</v>
      </c>
      <c r="H6" s="268" t="s">
        <v>235</v>
      </c>
      <c r="I6" s="268" t="s">
        <v>237</v>
      </c>
      <c r="J6" s="268" t="s">
        <v>232</v>
      </c>
      <c r="K6" s="268" t="s">
        <v>47</v>
      </c>
      <c r="L6" s="268" t="s">
        <v>242</v>
      </c>
      <c r="M6" s="268" t="s">
        <v>256</v>
      </c>
      <c r="N6" s="268" t="s">
        <v>265</v>
      </c>
      <c r="O6" s="268" t="s">
        <v>248</v>
      </c>
      <c r="P6" s="268" t="s">
        <v>234</v>
      </c>
      <c r="Q6" s="268" t="s">
        <v>239</v>
      </c>
      <c r="R6" s="268"/>
      <c r="S6" s="268"/>
      <c r="T6" s="268"/>
      <c r="U6" s="268" t="s">
        <v>230</v>
      </c>
      <c r="V6" s="268"/>
      <c r="W6" s="268" t="s">
        <v>247</v>
      </c>
      <c r="X6" s="268"/>
      <c r="Y6" s="268"/>
      <c r="Z6" s="268" t="s">
        <v>243</v>
      </c>
      <c r="AA6" s="268" t="s">
        <v>232</v>
      </c>
      <c r="AB6" s="268" t="s">
        <v>235</v>
      </c>
      <c r="AD6" s="268" t="s">
        <v>242</v>
      </c>
      <c r="AE6" s="268"/>
    </row>
    <row r="7" spans="2:31" s="102" customFormat="1" ht="15.75">
      <c r="B7" s="270">
        <v>0.6770833333333334</v>
      </c>
      <c r="C7" s="271" t="s">
        <v>233</v>
      </c>
      <c r="D7" s="271" t="s">
        <v>240</v>
      </c>
      <c r="E7" s="271" t="s">
        <v>242</v>
      </c>
      <c r="F7" s="271" t="s">
        <v>248</v>
      </c>
      <c r="G7" s="271" t="s">
        <v>254</v>
      </c>
      <c r="H7" s="271" t="s">
        <v>236</v>
      </c>
      <c r="I7" s="271" t="s">
        <v>249</v>
      </c>
      <c r="J7" s="271" t="s">
        <v>238</v>
      </c>
      <c r="K7" s="271" t="s">
        <v>15</v>
      </c>
      <c r="L7" s="271" t="s">
        <v>239</v>
      </c>
      <c r="M7" s="271" t="s">
        <v>236</v>
      </c>
      <c r="N7" s="271" t="s">
        <v>236</v>
      </c>
      <c r="O7" s="271" t="s">
        <v>39</v>
      </c>
      <c r="P7" s="271" t="s">
        <v>236</v>
      </c>
      <c r="Q7" s="271" t="s">
        <v>234</v>
      </c>
      <c r="R7" s="271"/>
      <c r="S7" s="271"/>
      <c r="T7" s="271"/>
      <c r="U7" s="271" t="s">
        <v>243</v>
      </c>
      <c r="V7" s="271" t="s">
        <v>254</v>
      </c>
      <c r="W7" s="271" t="s">
        <v>232</v>
      </c>
      <c r="X7" s="271" t="s">
        <v>236</v>
      </c>
      <c r="Y7" s="271" t="s">
        <v>243</v>
      </c>
      <c r="Z7" s="271" t="s">
        <v>237</v>
      </c>
      <c r="AA7" s="271"/>
      <c r="AB7" s="271" t="s">
        <v>231</v>
      </c>
      <c r="AC7" s="271" t="s">
        <v>243</v>
      </c>
      <c r="AD7" s="271" t="s">
        <v>13</v>
      </c>
      <c r="AE7" s="271"/>
    </row>
    <row r="8" spans="2:31" s="102" customFormat="1" ht="15.75">
      <c r="B8" s="272"/>
      <c r="C8" s="271" t="s">
        <v>234</v>
      </c>
      <c r="D8" s="271" t="s">
        <v>241</v>
      </c>
      <c r="E8" s="271" t="s">
        <v>238</v>
      </c>
      <c r="F8" s="271" t="s">
        <v>232</v>
      </c>
      <c r="G8" s="271" t="s">
        <v>256</v>
      </c>
      <c r="H8" s="271" t="s">
        <v>39</v>
      </c>
      <c r="I8" s="271" t="s">
        <v>235</v>
      </c>
      <c r="J8" s="271" t="s">
        <v>230</v>
      </c>
      <c r="K8" s="271" t="s">
        <v>238</v>
      </c>
      <c r="L8" s="271" t="s">
        <v>236</v>
      </c>
      <c r="M8" s="271" t="s">
        <v>232</v>
      </c>
      <c r="N8" s="271" t="s">
        <v>233</v>
      </c>
      <c r="O8" s="271" t="s">
        <v>232</v>
      </c>
      <c r="P8" s="271" t="s">
        <v>235</v>
      </c>
      <c r="Q8" s="271" t="s">
        <v>244</v>
      </c>
      <c r="R8" s="271"/>
      <c r="S8" s="271"/>
      <c r="T8" s="271"/>
      <c r="U8" s="271" t="s">
        <v>236</v>
      </c>
      <c r="V8" s="271" t="s">
        <v>242</v>
      </c>
      <c r="W8" s="271" t="s">
        <v>265</v>
      </c>
      <c r="X8" s="271" t="s">
        <v>238</v>
      </c>
      <c r="Y8" s="271" t="s">
        <v>248</v>
      </c>
      <c r="Z8" s="271" t="s">
        <v>254</v>
      </c>
      <c r="AA8" s="271" t="s">
        <v>235</v>
      </c>
      <c r="AB8" s="271" t="s">
        <v>13</v>
      </c>
      <c r="AC8" s="271" t="s">
        <v>239</v>
      </c>
      <c r="AD8" s="271" t="s">
        <v>235</v>
      </c>
      <c r="AE8" s="271"/>
    </row>
    <row r="9" spans="2:31" s="102" customFormat="1" ht="15.75">
      <c r="B9" s="272"/>
      <c r="C9" s="271" t="s">
        <v>235</v>
      </c>
      <c r="D9" s="271" t="s">
        <v>233</v>
      </c>
      <c r="E9" s="271" t="s">
        <v>232</v>
      </c>
      <c r="F9" s="271" t="s">
        <v>238</v>
      </c>
      <c r="G9" s="271" t="s">
        <v>15</v>
      </c>
      <c r="H9" s="271" t="s">
        <v>239</v>
      </c>
      <c r="I9" s="271" t="s">
        <v>230</v>
      </c>
      <c r="J9" s="271" t="s">
        <v>27</v>
      </c>
      <c r="K9" s="271" t="s">
        <v>266</v>
      </c>
      <c r="L9" s="271" t="s">
        <v>39</v>
      </c>
      <c r="M9" s="271" t="s">
        <v>13</v>
      </c>
      <c r="N9" s="271" t="s">
        <v>234</v>
      </c>
      <c r="O9" s="271" t="s">
        <v>235</v>
      </c>
      <c r="P9" s="271" t="s">
        <v>253</v>
      </c>
      <c r="Q9" s="271" t="s">
        <v>235</v>
      </c>
      <c r="R9" s="271"/>
      <c r="S9" s="271"/>
      <c r="T9" s="271"/>
      <c r="U9" s="271" t="s">
        <v>242</v>
      </c>
      <c r="V9" s="271" t="s">
        <v>230</v>
      </c>
      <c r="W9" s="271" t="s">
        <v>234</v>
      </c>
      <c r="X9" s="271" t="s">
        <v>235</v>
      </c>
      <c r="Y9" s="271" t="s">
        <v>230</v>
      </c>
      <c r="Z9" s="271" t="s">
        <v>232</v>
      </c>
      <c r="AA9" s="271" t="s">
        <v>240</v>
      </c>
      <c r="AB9" s="271" t="s">
        <v>242</v>
      </c>
      <c r="AC9" s="271" t="s">
        <v>240</v>
      </c>
      <c r="AD9" s="271" t="s">
        <v>248</v>
      </c>
      <c r="AE9" s="271"/>
    </row>
    <row r="10" spans="2:31" s="102" customFormat="1" ht="15.75">
      <c r="B10" s="272"/>
      <c r="C10" s="271" t="s">
        <v>39</v>
      </c>
      <c r="D10" s="271" t="s">
        <v>232</v>
      </c>
      <c r="E10" s="271" t="s">
        <v>235</v>
      </c>
      <c r="F10" s="271" t="s">
        <v>254</v>
      </c>
      <c r="G10" s="271" t="s">
        <v>240</v>
      </c>
      <c r="H10" s="271" t="s">
        <v>233</v>
      </c>
      <c r="I10" s="271" t="s">
        <v>248</v>
      </c>
      <c r="J10" s="271" t="s">
        <v>45</v>
      </c>
      <c r="K10" s="271" t="s">
        <v>232</v>
      </c>
      <c r="L10" s="271" t="s">
        <v>27</v>
      </c>
      <c r="M10" s="271"/>
      <c r="N10" s="271" t="s">
        <v>254</v>
      </c>
      <c r="O10" s="271" t="s">
        <v>256</v>
      </c>
      <c r="P10" s="271"/>
      <c r="Q10" s="271" t="s">
        <v>245</v>
      </c>
      <c r="R10" s="271"/>
      <c r="S10" s="271"/>
      <c r="T10" s="271"/>
      <c r="U10" s="271" t="s">
        <v>244</v>
      </c>
      <c r="V10" s="271" t="s">
        <v>232</v>
      </c>
      <c r="W10" s="271" t="s">
        <v>253</v>
      </c>
      <c r="X10" s="271" t="s">
        <v>240</v>
      </c>
      <c r="Y10" s="271" t="s">
        <v>235</v>
      </c>
      <c r="Z10" s="271" t="s">
        <v>235</v>
      </c>
      <c r="AA10" s="271" t="s">
        <v>253</v>
      </c>
      <c r="AB10" s="271"/>
      <c r="AC10" s="271"/>
      <c r="AD10" s="271" t="s">
        <v>237</v>
      </c>
      <c r="AE10" s="271"/>
    </row>
    <row r="11" spans="2:31" ht="15.75">
      <c r="B11" s="267">
        <v>0.6875</v>
      </c>
      <c r="C11" s="268" t="s">
        <v>47</v>
      </c>
      <c r="D11" s="268" t="s">
        <v>235</v>
      </c>
      <c r="E11" s="268" t="s">
        <v>243</v>
      </c>
      <c r="F11" s="268" t="s">
        <v>236</v>
      </c>
      <c r="G11" s="268" t="s">
        <v>242</v>
      </c>
      <c r="H11" s="268" t="s">
        <v>230</v>
      </c>
      <c r="I11" s="268" t="s">
        <v>234</v>
      </c>
      <c r="J11" s="268" t="s">
        <v>13</v>
      </c>
      <c r="K11" s="268" t="s">
        <v>247</v>
      </c>
      <c r="L11" s="268" t="s">
        <v>231</v>
      </c>
      <c r="M11" s="268" t="s">
        <v>242</v>
      </c>
      <c r="N11" s="268" t="s">
        <v>231</v>
      </c>
      <c r="O11" s="268" t="s">
        <v>288</v>
      </c>
      <c r="P11" s="268" t="s">
        <v>39</v>
      </c>
      <c r="Q11" s="268" t="s">
        <v>249</v>
      </c>
      <c r="R11" s="268"/>
      <c r="S11" s="268"/>
      <c r="T11" s="268"/>
      <c r="U11" s="268" t="s">
        <v>249</v>
      </c>
      <c r="V11" s="268" t="s">
        <v>236</v>
      </c>
      <c r="W11" s="268" t="s">
        <v>254</v>
      </c>
      <c r="X11" s="268" t="s">
        <v>243</v>
      </c>
      <c r="Y11" s="268" t="s">
        <v>240</v>
      </c>
      <c r="Z11" s="268" t="s">
        <v>318</v>
      </c>
      <c r="AA11" s="268" t="s">
        <v>239</v>
      </c>
      <c r="AB11" s="268" t="s">
        <v>236</v>
      </c>
      <c r="AC11" s="268" t="s">
        <v>13</v>
      </c>
      <c r="AD11" s="268" t="s">
        <v>247</v>
      </c>
      <c r="AE11" s="268"/>
    </row>
    <row r="12" spans="2:31" ht="15.75">
      <c r="B12" s="269"/>
      <c r="C12" s="268" t="s">
        <v>31</v>
      </c>
      <c r="D12" s="268" t="s">
        <v>236</v>
      </c>
      <c r="E12" s="268" t="s">
        <v>15</v>
      </c>
      <c r="F12" s="268" t="s">
        <v>247</v>
      </c>
      <c r="G12" s="268" t="s">
        <v>243</v>
      </c>
      <c r="H12" s="268" t="s">
        <v>247</v>
      </c>
      <c r="I12" s="268" t="s">
        <v>239</v>
      </c>
      <c r="J12" s="268" t="s">
        <v>244</v>
      </c>
      <c r="K12" s="268" t="s">
        <v>242</v>
      </c>
      <c r="L12" s="268"/>
      <c r="M12" s="268" t="s">
        <v>237</v>
      </c>
      <c r="N12" s="268" t="s">
        <v>238</v>
      </c>
      <c r="O12" s="268" t="s">
        <v>230</v>
      </c>
      <c r="P12" s="268" t="s">
        <v>243</v>
      </c>
      <c r="Q12" s="268" t="s">
        <v>39</v>
      </c>
      <c r="R12" s="268"/>
      <c r="S12" s="268"/>
      <c r="T12" s="268"/>
      <c r="U12" s="268" t="s">
        <v>27</v>
      </c>
      <c r="V12" s="268" t="s">
        <v>265</v>
      </c>
      <c r="W12" s="268" t="s">
        <v>13</v>
      </c>
      <c r="X12" s="268" t="s">
        <v>233</v>
      </c>
      <c r="Y12" s="268" t="s">
        <v>265</v>
      </c>
      <c r="Z12" s="268" t="s">
        <v>230</v>
      </c>
      <c r="AA12" s="268" t="s">
        <v>231</v>
      </c>
      <c r="AB12" s="268" t="s">
        <v>240</v>
      </c>
      <c r="AC12" s="268" t="s">
        <v>247</v>
      </c>
      <c r="AD12" s="268" t="s">
        <v>239</v>
      </c>
      <c r="AE12" s="268"/>
    </row>
    <row r="13" spans="2:31" ht="15.75">
      <c r="B13" s="269"/>
      <c r="C13" s="268" t="s">
        <v>239</v>
      </c>
      <c r="D13" s="268" t="s">
        <v>242</v>
      </c>
      <c r="E13" s="268" t="s">
        <v>244</v>
      </c>
      <c r="F13" s="268" t="s">
        <v>239</v>
      </c>
      <c r="G13" s="268" t="s">
        <v>248</v>
      </c>
      <c r="H13" s="268" t="s">
        <v>237</v>
      </c>
      <c r="I13" s="268" t="s">
        <v>240</v>
      </c>
      <c r="J13" s="268" t="s">
        <v>233</v>
      </c>
      <c r="K13" s="268" t="s">
        <v>17</v>
      </c>
      <c r="L13" s="268" t="s">
        <v>244</v>
      </c>
      <c r="M13" s="268" t="s">
        <v>249</v>
      </c>
      <c r="N13" s="268" t="s">
        <v>249</v>
      </c>
      <c r="O13" s="268" t="s">
        <v>247</v>
      </c>
      <c r="P13" s="268" t="s">
        <v>15</v>
      </c>
      <c r="Q13" s="268" t="s">
        <v>253</v>
      </c>
      <c r="R13" s="268"/>
      <c r="S13" s="268"/>
      <c r="T13" s="268"/>
      <c r="U13" s="268" t="s">
        <v>248</v>
      </c>
      <c r="V13" s="268" t="s">
        <v>238</v>
      </c>
      <c r="W13" s="268" t="s">
        <v>27</v>
      </c>
      <c r="X13" s="268" t="s">
        <v>245</v>
      </c>
      <c r="Y13" s="268" t="s">
        <v>234</v>
      </c>
      <c r="Z13" s="268" t="s">
        <v>236</v>
      </c>
      <c r="AA13" s="268" t="s">
        <v>230</v>
      </c>
      <c r="AB13" s="268" t="s">
        <v>254</v>
      </c>
      <c r="AC13" s="268" t="s">
        <v>235</v>
      </c>
      <c r="AD13" s="268" t="s">
        <v>254</v>
      </c>
      <c r="AE13" s="268"/>
    </row>
    <row r="14" spans="2:31" ht="15.75">
      <c r="B14" s="269"/>
      <c r="C14" s="268"/>
      <c r="D14" s="268"/>
      <c r="E14" s="268" t="s">
        <v>237</v>
      </c>
      <c r="F14" s="268" t="s">
        <v>243</v>
      </c>
      <c r="G14" s="268"/>
      <c r="H14" s="268" t="s">
        <v>13</v>
      </c>
      <c r="I14" s="268"/>
      <c r="J14" s="268" t="s">
        <v>240</v>
      </c>
      <c r="K14" s="268" t="s">
        <v>45</v>
      </c>
      <c r="L14" s="268" t="s">
        <v>247</v>
      </c>
      <c r="M14" s="268"/>
      <c r="N14" s="268" t="s">
        <v>230</v>
      </c>
      <c r="O14" s="268" t="s">
        <v>238</v>
      </c>
      <c r="P14" s="268" t="s">
        <v>265</v>
      </c>
      <c r="Q14" s="268" t="s">
        <v>238</v>
      </c>
      <c r="R14" s="268"/>
      <c r="S14" s="268"/>
      <c r="T14" s="268"/>
      <c r="U14" s="268" t="s">
        <v>237</v>
      </c>
      <c r="V14" s="268" t="s">
        <v>248</v>
      </c>
      <c r="W14" s="268" t="s">
        <v>230</v>
      </c>
      <c r="X14" s="268" t="s">
        <v>234</v>
      </c>
      <c r="Y14" s="268" t="s">
        <v>247</v>
      </c>
      <c r="Z14" s="268" t="s">
        <v>244</v>
      </c>
      <c r="AA14" s="268" t="s">
        <v>233</v>
      </c>
      <c r="AB14" s="268"/>
      <c r="AC14" s="268" t="s">
        <v>232</v>
      </c>
      <c r="AD14" s="268" t="s">
        <v>249</v>
      </c>
      <c r="AE14" s="268"/>
    </row>
    <row r="15" spans="2:31" s="102" customFormat="1" ht="15.75">
      <c r="B15" s="270">
        <v>0.6979166666666666</v>
      </c>
      <c r="C15" s="271" t="s">
        <v>236</v>
      </c>
      <c r="D15" s="271" t="s">
        <v>243</v>
      </c>
      <c r="E15" s="271" t="s">
        <v>249</v>
      </c>
      <c r="F15" s="271" t="s">
        <v>249</v>
      </c>
      <c r="G15" s="271" t="s">
        <v>236</v>
      </c>
      <c r="H15" s="271" t="s">
        <v>31</v>
      </c>
      <c r="I15" s="271" t="s">
        <v>233</v>
      </c>
      <c r="J15" s="271" t="s">
        <v>247</v>
      </c>
      <c r="K15" s="271" t="s">
        <v>236</v>
      </c>
      <c r="L15" s="271" t="s">
        <v>243</v>
      </c>
      <c r="M15" s="271" t="s">
        <v>239</v>
      </c>
      <c r="N15" s="271" t="s">
        <v>244</v>
      </c>
      <c r="O15" s="271" t="s">
        <v>244</v>
      </c>
      <c r="P15" s="271" t="s">
        <v>249</v>
      </c>
      <c r="Q15" s="271" t="s">
        <v>13</v>
      </c>
      <c r="R15" s="271"/>
      <c r="S15" s="271"/>
      <c r="T15" s="271"/>
      <c r="U15" s="271" t="s">
        <v>238</v>
      </c>
      <c r="V15" s="271" t="s">
        <v>239</v>
      </c>
      <c r="W15" s="271" t="s">
        <v>249</v>
      </c>
      <c r="X15" s="271" t="s">
        <v>247</v>
      </c>
      <c r="Y15" s="271" t="s">
        <v>249</v>
      </c>
      <c r="Z15" s="271" t="s">
        <v>256</v>
      </c>
      <c r="AA15" s="271" t="s">
        <v>234</v>
      </c>
      <c r="AB15" s="271" t="s">
        <v>244</v>
      </c>
      <c r="AC15" s="271" t="s">
        <v>236</v>
      </c>
      <c r="AD15" s="271" t="s">
        <v>233</v>
      </c>
      <c r="AE15" s="271"/>
    </row>
    <row r="16" spans="2:31" s="102" customFormat="1" ht="15.75">
      <c r="B16" s="272"/>
      <c r="C16" s="271" t="s">
        <v>237</v>
      </c>
      <c r="D16" s="271" t="s">
        <v>244</v>
      </c>
      <c r="E16" s="271" t="s">
        <v>239</v>
      </c>
      <c r="F16" s="271" t="s">
        <v>240</v>
      </c>
      <c r="G16" s="271" t="s">
        <v>249</v>
      </c>
      <c r="H16" s="271" t="s">
        <v>253</v>
      </c>
      <c r="I16" s="271" t="s">
        <v>247</v>
      </c>
      <c r="J16" s="271" t="s">
        <v>236</v>
      </c>
      <c r="K16" s="271" t="s">
        <v>244</v>
      </c>
      <c r="L16" s="271" t="s">
        <v>47</v>
      </c>
      <c r="M16" s="271" t="s">
        <v>247</v>
      </c>
      <c r="N16" s="271" t="s">
        <v>245</v>
      </c>
      <c r="O16" s="271" t="s">
        <v>236</v>
      </c>
      <c r="P16" s="271" t="s">
        <v>244</v>
      </c>
      <c r="Q16" s="271" t="s">
        <v>243</v>
      </c>
      <c r="R16" s="271"/>
      <c r="S16" s="271"/>
      <c r="T16" s="271"/>
      <c r="U16" s="271" t="s">
        <v>235</v>
      </c>
      <c r="V16" s="271" t="s">
        <v>233</v>
      </c>
      <c r="W16" s="271" t="s">
        <v>236</v>
      </c>
      <c r="X16" s="271" t="s">
        <v>249</v>
      </c>
      <c r="Y16" s="271" t="s">
        <v>238</v>
      </c>
      <c r="Z16" s="271" t="s">
        <v>249</v>
      </c>
      <c r="AA16" s="271" t="s">
        <v>242</v>
      </c>
      <c r="AB16" s="271" t="s">
        <v>256</v>
      </c>
      <c r="AC16" s="271" t="s">
        <v>256</v>
      </c>
      <c r="AD16" s="271" t="s">
        <v>243</v>
      </c>
      <c r="AE16" s="271"/>
    </row>
    <row r="17" spans="2:31" s="102" customFormat="1" ht="15.75">
      <c r="B17" s="272"/>
      <c r="C17" s="271" t="s">
        <v>238</v>
      </c>
      <c r="D17" s="271" t="s">
        <v>234</v>
      </c>
      <c r="E17" s="271" t="s">
        <v>247</v>
      </c>
      <c r="F17" s="271" t="s">
        <v>237</v>
      </c>
      <c r="G17" s="271" t="s">
        <v>25</v>
      </c>
      <c r="H17" s="271" t="s">
        <v>249</v>
      </c>
      <c r="I17" s="271" t="s">
        <v>245</v>
      </c>
      <c r="J17" s="271" t="s">
        <v>254</v>
      </c>
      <c r="K17" s="271" t="s">
        <v>31</v>
      </c>
      <c r="L17" s="271" t="s">
        <v>249</v>
      </c>
      <c r="M17" s="271" t="s">
        <v>243</v>
      </c>
      <c r="N17" s="271" t="s">
        <v>232</v>
      </c>
      <c r="O17" s="271" t="s">
        <v>243</v>
      </c>
      <c r="P17" s="271" t="s">
        <v>239</v>
      </c>
      <c r="Q17" s="271" t="s">
        <v>232</v>
      </c>
      <c r="R17" s="271"/>
      <c r="S17" s="271"/>
      <c r="T17" s="271"/>
      <c r="U17" s="271" t="s">
        <v>240</v>
      </c>
      <c r="V17" s="271" t="s">
        <v>13</v>
      </c>
      <c r="W17" s="271" t="s">
        <v>239</v>
      </c>
      <c r="X17" s="271" t="s">
        <v>254</v>
      </c>
      <c r="Y17" s="271" t="s">
        <v>237</v>
      </c>
      <c r="Z17" s="271" t="s">
        <v>240</v>
      </c>
      <c r="AA17" s="271" t="s">
        <v>254</v>
      </c>
      <c r="AB17" s="271" t="s">
        <v>253</v>
      </c>
      <c r="AC17" s="271" t="s">
        <v>239</v>
      </c>
      <c r="AD17" s="271" t="s">
        <v>15</v>
      </c>
      <c r="AE17" s="271"/>
    </row>
    <row r="18" spans="2:31" s="102" customFormat="1" ht="15.75">
      <c r="B18" s="272"/>
      <c r="C18" s="271"/>
      <c r="D18" s="271" t="s">
        <v>245</v>
      </c>
      <c r="E18" s="271"/>
      <c r="F18" s="271" t="s">
        <v>245</v>
      </c>
      <c r="G18" s="271"/>
      <c r="H18" s="271"/>
      <c r="I18" s="271"/>
      <c r="J18" s="271"/>
      <c r="K18" s="271" t="s">
        <v>13</v>
      </c>
      <c r="L18" s="271" t="s">
        <v>235</v>
      </c>
      <c r="M18" s="271" t="s">
        <v>233</v>
      </c>
      <c r="N18" s="271" t="s">
        <v>235</v>
      </c>
      <c r="O18" s="271" t="s">
        <v>17</v>
      </c>
      <c r="P18" s="271" t="s">
        <v>27</v>
      </c>
      <c r="Q18" s="271"/>
      <c r="R18" s="271"/>
      <c r="S18" s="271"/>
      <c r="T18" s="271"/>
      <c r="U18" s="271" t="s">
        <v>25</v>
      </c>
      <c r="V18" s="271" t="s">
        <v>27</v>
      </c>
      <c r="W18" s="271" t="s">
        <v>237</v>
      </c>
      <c r="X18" s="271"/>
      <c r="Y18" s="271" t="s">
        <v>245</v>
      </c>
      <c r="Z18" s="271" t="s">
        <v>253</v>
      </c>
      <c r="AA18" s="271" t="s">
        <v>247</v>
      </c>
      <c r="AB18" s="271" t="s">
        <v>247</v>
      </c>
      <c r="AC18" s="271" t="s">
        <v>231</v>
      </c>
      <c r="AD18" s="271" t="s">
        <v>232</v>
      </c>
      <c r="AE18" s="271"/>
    </row>
    <row r="19" spans="2:31" ht="15.75">
      <c r="B19" s="267">
        <v>0.7083333333333334</v>
      </c>
      <c r="C19" s="268"/>
      <c r="D19" s="268" t="s">
        <v>239</v>
      </c>
      <c r="E19" s="268"/>
      <c r="F19" s="268"/>
      <c r="G19" s="268"/>
      <c r="H19" s="268"/>
      <c r="I19" s="268"/>
      <c r="J19" s="268" t="s">
        <v>249</v>
      </c>
      <c r="K19" s="268" t="s">
        <v>249</v>
      </c>
      <c r="L19" s="268"/>
      <c r="M19" s="268" t="s">
        <v>244</v>
      </c>
      <c r="N19" s="268" t="s">
        <v>237</v>
      </c>
      <c r="O19" s="268" t="s">
        <v>15</v>
      </c>
      <c r="P19" s="268"/>
      <c r="Q19" s="268"/>
      <c r="R19" s="268"/>
      <c r="S19" s="268"/>
      <c r="T19" s="268"/>
      <c r="U19" s="268" t="s">
        <v>247</v>
      </c>
      <c r="V19" s="268" t="s">
        <v>247</v>
      </c>
      <c r="W19" s="268" t="s">
        <v>244</v>
      </c>
      <c r="X19" s="268" t="s">
        <v>232</v>
      </c>
      <c r="Y19" s="268" t="s">
        <v>239</v>
      </c>
      <c r="Z19" s="268" t="s">
        <v>239</v>
      </c>
      <c r="AA19" s="268"/>
      <c r="AB19" s="268" t="s">
        <v>239</v>
      </c>
      <c r="AC19" s="268"/>
      <c r="AD19" s="268"/>
      <c r="AE19" s="268"/>
    </row>
    <row r="20" spans="2:31" ht="15.75">
      <c r="B20" s="269"/>
      <c r="C20" s="268"/>
      <c r="D20" s="268" t="s">
        <v>246</v>
      </c>
      <c r="E20" s="268"/>
      <c r="F20" s="268"/>
      <c r="G20" s="268"/>
      <c r="H20" s="268"/>
      <c r="I20" s="268"/>
      <c r="J20" s="268" t="s">
        <v>256</v>
      </c>
      <c r="K20" s="268" t="s">
        <v>234</v>
      </c>
      <c r="L20" s="268"/>
      <c r="M20" s="268" t="s">
        <v>240</v>
      </c>
      <c r="N20" s="268" t="s">
        <v>247</v>
      </c>
      <c r="O20" s="268" t="s">
        <v>245</v>
      </c>
      <c r="P20" s="268"/>
      <c r="Q20" s="268"/>
      <c r="R20" s="268"/>
      <c r="S20" s="268"/>
      <c r="T20" s="268"/>
      <c r="U20" s="268" t="s">
        <v>15</v>
      </c>
      <c r="V20" s="268" t="s">
        <v>240</v>
      </c>
      <c r="W20" s="268" t="s">
        <v>240</v>
      </c>
      <c r="X20" s="268" t="s">
        <v>239</v>
      </c>
      <c r="Y20" s="268" t="s">
        <v>244</v>
      </c>
      <c r="Z20" s="268" t="s">
        <v>233</v>
      </c>
      <c r="AA20" s="268" t="s">
        <v>265</v>
      </c>
      <c r="AB20" s="268" t="s">
        <v>237</v>
      </c>
      <c r="AC20" s="268"/>
      <c r="AD20" s="268"/>
      <c r="AE20" s="268"/>
    </row>
    <row r="21" spans="2:31" ht="15.75">
      <c r="B21" s="269"/>
      <c r="C21" s="268"/>
      <c r="D21" s="268" t="s">
        <v>247</v>
      </c>
      <c r="E21" s="268"/>
      <c r="F21" s="268"/>
      <c r="G21" s="268"/>
      <c r="H21" s="268"/>
      <c r="I21" s="268"/>
      <c r="J21" s="268" t="s">
        <v>235</v>
      </c>
      <c r="K21" s="268" t="s">
        <v>265</v>
      </c>
      <c r="L21" s="268"/>
      <c r="M21" s="268" t="s">
        <v>238</v>
      </c>
      <c r="N21" s="268" t="s">
        <v>243</v>
      </c>
      <c r="O21" s="268"/>
      <c r="P21" s="268"/>
      <c r="Q21" s="268"/>
      <c r="R21" s="268"/>
      <c r="S21" s="268"/>
      <c r="T21" s="268"/>
      <c r="U21" s="268" t="s">
        <v>239</v>
      </c>
      <c r="V21" s="268" t="s">
        <v>243</v>
      </c>
      <c r="W21" s="268" t="s">
        <v>243</v>
      </c>
      <c r="X21" s="268" t="s">
        <v>253</v>
      </c>
      <c r="Y21" s="268" t="s">
        <v>233</v>
      </c>
      <c r="Z21" s="268" t="s">
        <v>245</v>
      </c>
      <c r="AA21" s="268" t="s">
        <v>248</v>
      </c>
      <c r="AB21" s="268" t="s">
        <v>249</v>
      </c>
      <c r="AC21" s="268"/>
      <c r="AD21" s="268"/>
      <c r="AE21" s="268"/>
    </row>
    <row r="22" spans="2:31" ht="15.75">
      <c r="B22" s="269"/>
      <c r="C22" s="268"/>
      <c r="D22" s="268"/>
      <c r="E22" s="268"/>
      <c r="F22" s="268"/>
      <c r="G22" s="268"/>
      <c r="H22" s="268"/>
      <c r="I22" s="268"/>
      <c r="J22" s="268"/>
      <c r="K22" s="268" t="s">
        <v>240</v>
      </c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 t="s">
        <v>238</v>
      </c>
      <c r="AA22" s="268"/>
      <c r="AB22" s="268"/>
      <c r="AC22" s="268"/>
      <c r="AD22" s="268"/>
      <c r="AE22" s="268"/>
    </row>
    <row r="23" spans="2:31" ht="15.75">
      <c r="B23" s="270">
        <v>0.71875</v>
      </c>
      <c r="C23" s="271"/>
      <c r="D23" s="271"/>
      <c r="E23" s="271"/>
      <c r="F23" s="271"/>
      <c r="G23" s="271"/>
      <c r="H23" s="271"/>
      <c r="I23" s="271"/>
      <c r="J23" s="271" t="s">
        <v>31</v>
      </c>
      <c r="K23" s="271"/>
      <c r="L23" s="271"/>
      <c r="M23" s="271"/>
      <c r="N23" s="271"/>
      <c r="O23" s="271" t="s">
        <v>13</v>
      </c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</row>
    <row r="24" spans="2:31" ht="15.75">
      <c r="B24" s="272"/>
      <c r="C24" s="271"/>
      <c r="D24" s="271"/>
      <c r="E24" s="271"/>
      <c r="F24" s="271"/>
      <c r="G24" s="271"/>
      <c r="H24" s="271"/>
      <c r="I24" s="271"/>
      <c r="J24" s="271" t="s">
        <v>15</v>
      </c>
      <c r="K24" s="271"/>
      <c r="L24" s="271"/>
      <c r="M24" s="271"/>
      <c r="N24" s="271"/>
      <c r="O24" s="271" t="s">
        <v>253</v>
      </c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</row>
    <row r="25" spans="2:31" ht="15.75">
      <c r="B25" s="272"/>
      <c r="C25" s="271"/>
      <c r="D25" s="271"/>
      <c r="E25" s="271"/>
      <c r="F25" s="271"/>
      <c r="G25" s="271"/>
      <c r="H25" s="271"/>
      <c r="I25" s="271"/>
      <c r="J25" s="271" t="s">
        <v>262</v>
      </c>
      <c r="K25" s="271"/>
      <c r="L25" s="271"/>
      <c r="M25" s="271"/>
      <c r="N25" s="271"/>
      <c r="O25" s="271" t="s">
        <v>249</v>
      </c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</row>
    <row r="26" spans="2:31" ht="15.75">
      <c r="B26" s="272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 t="s">
        <v>234</v>
      </c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</row>
    <row r="27" spans="2:31" s="102" customFormat="1" ht="12.75">
      <c r="B27" s="213" t="s">
        <v>176</v>
      </c>
      <c r="C27" s="213">
        <f aca="true" t="shared" si="0" ref="C27:W27">COUNTA(C3:C26)</f>
        <v>13</v>
      </c>
      <c r="D27" s="213">
        <f t="shared" si="0"/>
        <v>17</v>
      </c>
      <c r="E27" s="213">
        <f t="shared" si="0"/>
        <v>14</v>
      </c>
      <c r="F27" s="213">
        <f t="shared" si="0"/>
        <v>16</v>
      </c>
      <c r="G27" s="213">
        <f t="shared" si="0"/>
        <v>14</v>
      </c>
      <c r="H27" s="213">
        <f t="shared" si="0"/>
        <v>15</v>
      </c>
      <c r="I27" s="213">
        <f t="shared" si="0"/>
        <v>14</v>
      </c>
      <c r="J27" s="213">
        <f t="shared" si="0"/>
        <v>21</v>
      </c>
      <c r="K27" s="213">
        <f t="shared" si="0"/>
        <v>20</v>
      </c>
      <c r="L27" s="213">
        <f t="shared" si="0"/>
        <v>15</v>
      </c>
      <c r="M27" s="213">
        <f t="shared" si="0"/>
        <v>17</v>
      </c>
      <c r="N27" s="213">
        <f t="shared" si="0"/>
        <v>19</v>
      </c>
      <c r="O27" s="213">
        <f t="shared" si="0"/>
        <v>22</v>
      </c>
      <c r="P27" s="213">
        <f t="shared" si="0"/>
        <v>15</v>
      </c>
      <c r="Q27" s="213">
        <f t="shared" si="0"/>
        <v>15</v>
      </c>
      <c r="R27" s="213">
        <f t="shared" si="0"/>
        <v>0</v>
      </c>
      <c r="S27" s="213">
        <f t="shared" si="0"/>
        <v>1</v>
      </c>
      <c r="T27" s="213">
        <f t="shared" si="0"/>
        <v>0</v>
      </c>
      <c r="U27" s="213">
        <f t="shared" si="0"/>
        <v>19</v>
      </c>
      <c r="V27" s="213">
        <f t="shared" si="0"/>
        <v>18</v>
      </c>
      <c r="W27" s="213">
        <f t="shared" si="0"/>
        <v>19</v>
      </c>
      <c r="X27" s="213">
        <f aca="true" t="shared" si="1" ref="X27:AD27">COUNTA(X3:X26)</f>
        <v>17</v>
      </c>
      <c r="Y27" s="213">
        <f t="shared" si="1"/>
        <v>18</v>
      </c>
      <c r="Z27" s="213">
        <f t="shared" si="1"/>
        <v>20</v>
      </c>
      <c r="AA27" s="213">
        <f t="shared" si="1"/>
        <v>17</v>
      </c>
      <c r="AB27" s="213">
        <f t="shared" si="1"/>
        <v>17</v>
      </c>
      <c r="AC27" s="213">
        <f t="shared" si="1"/>
        <v>14</v>
      </c>
      <c r="AD27" s="213">
        <f t="shared" si="1"/>
        <v>16</v>
      </c>
      <c r="AE27" s="213">
        <f>COUNTA(AE3:AE26)</f>
        <v>0</v>
      </c>
    </row>
    <row r="28" s="102" customFormat="1" ht="12.75"/>
    <row r="29" s="102" customFormat="1" ht="12.75"/>
    <row r="30" ht="12.75">
      <c r="J30" s="102"/>
    </row>
    <row r="31" spans="8:16" ht="12.75">
      <c r="H31" s="102"/>
      <c r="I31" s="361"/>
      <c r="J31" s="361"/>
      <c r="K31" s="361"/>
      <c r="L31" s="361"/>
      <c r="M31" s="360"/>
      <c r="N31" s="360"/>
      <c r="O31" s="360"/>
      <c r="P31" s="361"/>
    </row>
    <row r="32" spans="12:15" ht="13.5">
      <c r="L32" s="362"/>
      <c r="M32" s="440"/>
      <c r="N32" s="135"/>
      <c r="O32" s="437"/>
    </row>
    <row r="33" spans="12:15" ht="13.5">
      <c r="L33" s="362"/>
      <c r="M33" s="440"/>
      <c r="N33" s="438"/>
      <c r="O33" s="437"/>
    </row>
    <row r="34" spans="12:15" ht="13.5">
      <c r="L34" s="439"/>
      <c r="M34" s="440"/>
      <c r="N34" s="135"/>
      <c r="O34" s="437"/>
    </row>
    <row r="35" spans="12:15" ht="13.5">
      <c r="L35" s="439"/>
      <c r="M35" s="440"/>
      <c r="N35" s="438"/>
      <c r="O35" s="437"/>
    </row>
    <row r="36" spans="12:15" ht="13.5">
      <c r="L36" s="362"/>
      <c r="M36" s="440"/>
      <c r="N36" s="135"/>
      <c r="O36" s="437"/>
    </row>
    <row r="37" spans="12:15" ht="16.5" customHeight="1">
      <c r="L37" s="362"/>
      <c r="M37" s="440"/>
      <c r="N37" s="135"/>
      <c r="O37" s="437"/>
    </row>
    <row r="38" spans="12:15" ht="13.5">
      <c r="L38" s="362"/>
      <c r="M38" s="440"/>
      <c r="N38" s="135"/>
      <c r="O38" s="437"/>
    </row>
    <row r="39" spans="12:15" ht="13.5">
      <c r="L39" s="362"/>
      <c r="M39" s="440"/>
      <c r="N39" s="438"/>
      <c r="O39" s="437"/>
    </row>
    <row r="40" spans="12:15" ht="13.5">
      <c r="L40" s="362"/>
      <c r="M40" s="440"/>
      <c r="N40" s="135"/>
      <c r="O40" s="437"/>
    </row>
    <row r="41" spans="12:15" ht="13.5">
      <c r="L41" s="362"/>
      <c r="M41" s="440"/>
      <c r="N41" s="438"/>
      <c r="O41" s="437"/>
    </row>
    <row r="42" spans="12:15" ht="15" customHeight="1">
      <c r="L42" s="362"/>
      <c r="M42" s="440"/>
      <c r="N42" s="135"/>
      <c r="O42" s="437"/>
    </row>
    <row r="43" spans="12:15" ht="13.5">
      <c r="L43" s="362"/>
      <c r="M43" s="440"/>
      <c r="N43" s="438"/>
      <c r="O43" s="437"/>
    </row>
    <row r="44" spans="12:15" ht="13.5">
      <c r="L44" s="362"/>
      <c r="M44" s="440"/>
      <c r="N44" s="135"/>
      <c r="O44" s="437"/>
    </row>
    <row r="45" spans="12:15" ht="13.5">
      <c r="L45" s="362"/>
      <c r="M45" s="440"/>
      <c r="N45" s="438"/>
      <c r="O45" s="437"/>
    </row>
    <row r="46" spans="12:15" ht="13.5">
      <c r="L46" s="439"/>
      <c r="M46" s="440"/>
      <c r="N46" s="135"/>
      <c r="O46" s="437"/>
    </row>
    <row r="47" spans="12:15" ht="13.5">
      <c r="L47" s="439"/>
      <c r="M47" s="440"/>
      <c r="N47" s="438"/>
      <c r="O47" s="437"/>
    </row>
    <row r="48" spans="12:15" ht="13.5">
      <c r="L48" s="362"/>
      <c r="M48" s="441"/>
      <c r="N48" s="135"/>
      <c r="O48" s="437"/>
    </row>
    <row r="49" spans="12:15" ht="13.5">
      <c r="L49" s="362"/>
      <c r="M49" s="441"/>
      <c r="N49" s="438"/>
      <c r="O49" s="437"/>
    </row>
    <row r="50" spans="12:15" ht="13.5">
      <c r="L50" s="362"/>
      <c r="M50" s="441"/>
      <c r="N50" s="135"/>
      <c r="O50" s="437"/>
    </row>
    <row r="51" spans="12:15" ht="12.75" customHeight="1">
      <c r="L51" s="362"/>
      <c r="M51" s="441"/>
      <c r="N51" s="438"/>
      <c r="O51" s="437"/>
    </row>
    <row r="52" spans="12:15" ht="12.75" customHeight="1">
      <c r="L52" s="362"/>
      <c r="M52" s="441"/>
      <c r="N52" s="135"/>
      <c r="O52" s="437"/>
    </row>
    <row r="53" spans="12:15" ht="13.5">
      <c r="L53" s="362"/>
      <c r="M53" s="441"/>
      <c r="N53" s="438"/>
      <c r="O53" s="437"/>
    </row>
    <row r="54" spans="12:15" ht="12.75">
      <c r="L54" s="362"/>
      <c r="M54" s="362"/>
      <c r="N54" s="362"/>
      <c r="O54" s="362"/>
    </row>
    <row r="55" spans="12:15" ht="12.75">
      <c r="L55" s="362"/>
      <c r="M55" s="362"/>
      <c r="N55" s="362"/>
      <c r="O55" s="36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5" customWidth="1"/>
    <col min="2" max="2" width="25.00390625" style="15" customWidth="1"/>
    <col min="3" max="3" width="15.140625" style="39" customWidth="1"/>
    <col min="4" max="10" width="3.28125" style="39" hidden="1" customWidth="1"/>
    <col min="11" max="18" width="3.28125" style="39" customWidth="1"/>
    <col min="19" max="31" width="3.28125" style="17" customWidth="1"/>
    <col min="32" max="33" width="3.28125" style="15" customWidth="1"/>
    <col min="34" max="16384" width="9.140625" style="15" customWidth="1"/>
  </cols>
  <sheetData>
    <row r="1" spans="3:33" ht="21.75" customHeight="1">
      <c r="C1" s="18" t="s">
        <v>220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2:33" s="20" customFormat="1" ht="68.25" customHeight="1">
      <c r="B2" s="21"/>
      <c r="C2" s="53" t="s">
        <v>221</v>
      </c>
      <c r="D2" s="237">
        <v>42299</v>
      </c>
      <c r="E2" s="237">
        <v>42292</v>
      </c>
      <c r="F2" s="237">
        <v>42285</v>
      </c>
      <c r="G2" s="237">
        <v>42278</v>
      </c>
      <c r="H2" s="237">
        <v>42271</v>
      </c>
      <c r="I2" s="237">
        <v>42264</v>
      </c>
      <c r="J2" s="237">
        <v>42257</v>
      </c>
      <c r="K2" s="237">
        <v>42250</v>
      </c>
      <c r="L2" s="237">
        <v>42243</v>
      </c>
      <c r="M2" s="237">
        <v>42236</v>
      </c>
      <c r="N2" s="237">
        <v>42229</v>
      </c>
      <c r="O2" s="237">
        <v>42222</v>
      </c>
      <c r="P2" s="237">
        <v>42215</v>
      </c>
      <c r="Q2" s="237">
        <v>42208</v>
      </c>
      <c r="R2" s="237">
        <v>42201</v>
      </c>
      <c r="S2" s="237">
        <v>42194</v>
      </c>
      <c r="T2" s="237">
        <v>42187</v>
      </c>
      <c r="U2" s="237">
        <v>42180</v>
      </c>
      <c r="V2" s="237">
        <v>42173</v>
      </c>
      <c r="W2" s="237">
        <v>42166</v>
      </c>
      <c r="X2" s="237">
        <v>42159</v>
      </c>
      <c r="Y2" s="237">
        <v>42152</v>
      </c>
      <c r="Z2" s="237">
        <v>42145</v>
      </c>
      <c r="AA2" s="237">
        <v>42138</v>
      </c>
      <c r="AB2" s="237">
        <v>42131</v>
      </c>
      <c r="AC2" s="237">
        <v>42124</v>
      </c>
      <c r="AD2" s="237">
        <v>42117</v>
      </c>
      <c r="AE2" s="237">
        <v>42110</v>
      </c>
      <c r="AF2" s="237">
        <v>42103</v>
      </c>
      <c r="AG2" s="237">
        <v>42096</v>
      </c>
    </row>
    <row r="3" spans="2:33" ht="15.75">
      <c r="B3" s="196" t="s">
        <v>15</v>
      </c>
      <c r="C3" s="197">
        <f aca="true" t="shared" si="0" ref="C3:C26">SUM(D3:AG3)*50</f>
        <v>150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>
        <v>1</v>
      </c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>
        <v>1</v>
      </c>
      <c r="AE3" s="198">
        <v>1</v>
      </c>
      <c r="AF3" s="198"/>
      <c r="AG3" s="198"/>
    </row>
    <row r="4" spans="2:34" s="24" customFormat="1" ht="15.75">
      <c r="B4" s="196" t="s">
        <v>39</v>
      </c>
      <c r="C4" s="197">
        <f t="shared" si="0"/>
        <v>150</v>
      </c>
      <c r="D4" s="198"/>
      <c r="E4" s="300"/>
      <c r="F4" s="198"/>
      <c r="G4" s="300"/>
      <c r="H4" s="198"/>
      <c r="I4" s="300"/>
      <c r="J4" s="300"/>
      <c r="K4" s="198">
        <v>1</v>
      </c>
      <c r="L4" s="198"/>
      <c r="M4" s="198"/>
      <c r="N4" s="198"/>
      <c r="O4" s="198"/>
      <c r="P4" s="198"/>
      <c r="Q4" s="198"/>
      <c r="R4" s="300"/>
      <c r="S4" s="198"/>
      <c r="T4" s="300"/>
      <c r="U4" s="300"/>
      <c r="V4" s="198"/>
      <c r="W4" s="198"/>
      <c r="X4" s="198">
        <v>1</v>
      </c>
      <c r="Y4" s="198"/>
      <c r="Z4" s="198"/>
      <c r="AA4" s="198"/>
      <c r="AB4" s="198"/>
      <c r="AC4" s="198"/>
      <c r="AD4" s="198"/>
      <c r="AE4" s="300"/>
      <c r="AF4" s="198"/>
      <c r="AG4" s="198">
        <v>1</v>
      </c>
      <c r="AH4" s="15"/>
    </row>
    <row r="5" spans="2:33" ht="15.75">
      <c r="B5" s="196" t="s">
        <v>21</v>
      </c>
      <c r="C5" s="197">
        <f t="shared" si="0"/>
        <v>50</v>
      </c>
      <c r="D5" s="198"/>
      <c r="E5" s="198"/>
      <c r="F5" s="198"/>
      <c r="G5" s="300"/>
      <c r="H5" s="198"/>
      <c r="I5" s="198"/>
      <c r="J5" s="198"/>
      <c r="K5" s="198"/>
      <c r="L5" s="198"/>
      <c r="M5" s="198"/>
      <c r="N5" s="300"/>
      <c r="O5" s="198"/>
      <c r="P5" s="198"/>
      <c r="Q5" s="198"/>
      <c r="R5" s="198"/>
      <c r="S5" s="198"/>
      <c r="T5" s="300"/>
      <c r="U5" s="300"/>
      <c r="V5" s="300"/>
      <c r="W5" s="198"/>
      <c r="X5" s="198"/>
      <c r="Y5" s="300"/>
      <c r="Z5" s="198"/>
      <c r="AA5" s="198"/>
      <c r="AB5" s="198"/>
      <c r="AC5" s="300"/>
      <c r="AD5" s="198"/>
      <c r="AE5" s="300"/>
      <c r="AF5" s="198"/>
      <c r="AG5" s="300">
        <v>1</v>
      </c>
    </row>
    <row r="6" spans="1:34" s="25" customFormat="1" ht="15.75">
      <c r="A6" s="15"/>
      <c r="B6" s="196" t="s">
        <v>25</v>
      </c>
      <c r="C6" s="197">
        <f t="shared" si="0"/>
        <v>50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>
        <v>1</v>
      </c>
      <c r="AG6" s="198"/>
      <c r="AH6" s="15"/>
    </row>
    <row r="7" spans="1:34" s="25" customFormat="1" ht="15.75">
      <c r="A7" s="15"/>
      <c r="B7" s="196" t="s">
        <v>33</v>
      </c>
      <c r="C7" s="197">
        <f t="shared" si="0"/>
        <v>50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>
        <v>1</v>
      </c>
      <c r="AF7" s="198"/>
      <c r="AG7" s="198"/>
      <c r="AH7" s="15"/>
    </row>
    <row r="8" spans="1:34" s="25" customFormat="1" ht="15.75">
      <c r="A8" s="15"/>
      <c r="B8" s="196" t="s">
        <v>35</v>
      </c>
      <c r="C8" s="197">
        <f t="shared" si="0"/>
        <v>50</v>
      </c>
      <c r="D8" s="300"/>
      <c r="E8" s="198"/>
      <c r="F8" s="300"/>
      <c r="G8" s="300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300"/>
      <c r="U8" s="300"/>
      <c r="V8" s="198"/>
      <c r="W8" s="198"/>
      <c r="X8" s="198"/>
      <c r="Y8" s="300"/>
      <c r="Z8" s="198"/>
      <c r="AA8" s="198"/>
      <c r="AB8" s="198"/>
      <c r="AC8" s="300"/>
      <c r="AD8" s="198">
        <v>1</v>
      </c>
      <c r="AE8" s="198"/>
      <c r="AF8" s="198"/>
      <c r="AG8" s="300"/>
      <c r="AH8" s="15"/>
    </row>
    <row r="9" spans="2:33" ht="15.75">
      <c r="B9" s="196" t="s">
        <v>51</v>
      </c>
      <c r="C9" s="197">
        <f t="shared" si="0"/>
        <v>50</v>
      </c>
      <c r="D9" s="198"/>
      <c r="E9" s="198"/>
      <c r="F9" s="198"/>
      <c r="G9" s="198"/>
      <c r="H9" s="198"/>
      <c r="I9" s="198"/>
      <c r="J9" s="300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>
        <v>1</v>
      </c>
      <c r="AE9" s="198"/>
      <c r="AF9" s="198"/>
      <c r="AG9" s="300"/>
    </row>
    <row r="10" spans="2:33" ht="15.75">
      <c r="B10" s="196" t="s">
        <v>23</v>
      </c>
      <c r="C10" s="197">
        <f t="shared" si="0"/>
        <v>50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>
        <v>1</v>
      </c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</row>
    <row r="11" spans="1:33" ht="15.75">
      <c r="A11" s="25"/>
      <c r="B11" s="196" t="s">
        <v>31</v>
      </c>
      <c r="C11" s="197">
        <f t="shared" si="0"/>
        <v>0</v>
      </c>
      <c r="D11" s="198"/>
      <c r="E11" s="300"/>
      <c r="F11" s="300"/>
      <c r="G11" s="198"/>
      <c r="H11" s="198"/>
      <c r="I11" s="300"/>
      <c r="J11" s="300"/>
      <c r="K11" s="300"/>
      <c r="L11" s="198"/>
      <c r="M11" s="198"/>
      <c r="N11" s="198"/>
      <c r="O11" s="198"/>
      <c r="P11" s="198"/>
      <c r="Q11" s="198"/>
      <c r="R11" s="198"/>
      <c r="S11" s="198"/>
      <c r="T11" s="198"/>
      <c r="U11" s="300"/>
      <c r="V11" s="300"/>
      <c r="W11" s="198"/>
      <c r="X11" s="198"/>
      <c r="Y11" s="198"/>
      <c r="Z11" s="300"/>
      <c r="AA11" s="300"/>
      <c r="AB11" s="198"/>
      <c r="AC11" s="198"/>
      <c r="AD11" s="198"/>
      <c r="AE11" s="300"/>
      <c r="AF11" s="198"/>
      <c r="AG11" s="300"/>
    </row>
    <row r="12" spans="2:33" ht="15.75">
      <c r="B12" s="196" t="s">
        <v>19</v>
      </c>
      <c r="C12" s="197">
        <f t="shared" si="0"/>
        <v>0</v>
      </c>
      <c r="D12" s="198"/>
      <c r="E12" s="198"/>
      <c r="F12" s="198"/>
      <c r="G12" s="300"/>
      <c r="H12" s="198"/>
      <c r="I12" s="198"/>
      <c r="J12" s="198"/>
      <c r="K12" s="198"/>
      <c r="L12" s="198"/>
      <c r="M12" s="198"/>
      <c r="N12" s="300"/>
      <c r="O12" s="198"/>
      <c r="P12" s="198"/>
      <c r="Q12" s="198"/>
      <c r="R12" s="198"/>
      <c r="S12" s="198"/>
      <c r="T12" s="300"/>
      <c r="U12" s="300"/>
      <c r="V12" s="300"/>
      <c r="W12" s="198"/>
      <c r="X12" s="198"/>
      <c r="Y12" s="300"/>
      <c r="Z12" s="198"/>
      <c r="AA12" s="198"/>
      <c r="AB12" s="198"/>
      <c r="AC12" s="300"/>
      <c r="AD12" s="198"/>
      <c r="AE12" s="300"/>
      <c r="AF12" s="198"/>
      <c r="AG12" s="300"/>
    </row>
    <row r="13" spans="1:33" ht="15.75">
      <c r="A13" s="25"/>
      <c r="B13" s="196" t="s">
        <v>334</v>
      </c>
      <c r="C13" s="197">
        <f t="shared" si="0"/>
        <v>0</v>
      </c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</row>
    <row r="14" spans="1:33" ht="15.75">
      <c r="A14" s="25"/>
      <c r="B14" s="196" t="s">
        <v>17</v>
      </c>
      <c r="C14" s="197">
        <f t="shared" si="0"/>
        <v>0</v>
      </c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300"/>
      <c r="W14" s="198"/>
      <c r="X14" s="198"/>
      <c r="Y14" s="198"/>
      <c r="Z14" s="198"/>
      <c r="AA14" s="300"/>
      <c r="AB14" s="198"/>
      <c r="AC14" s="198"/>
      <c r="AD14" s="198"/>
      <c r="AE14" s="198"/>
      <c r="AF14" s="198"/>
      <c r="AG14" s="300"/>
    </row>
    <row r="15" spans="1:34" s="25" customFormat="1" ht="15.75">
      <c r="A15" s="15"/>
      <c r="B15" s="196" t="s">
        <v>29</v>
      </c>
      <c r="C15" s="197">
        <f t="shared" si="0"/>
        <v>0</v>
      </c>
      <c r="D15" s="198"/>
      <c r="E15" s="198"/>
      <c r="F15" s="198"/>
      <c r="G15" s="198"/>
      <c r="H15" s="300"/>
      <c r="I15" s="300"/>
      <c r="J15" s="198"/>
      <c r="K15" s="198"/>
      <c r="L15" s="198"/>
      <c r="M15" s="198"/>
      <c r="N15" s="198"/>
      <c r="O15" s="300"/>
      <c r="P15" s="300"/>
      <c r="Q15" s="198"/>
      <c r="R15" s="198"/>
      <c r="S15" s="198"/>
      <c r="T15" s="198"/>
      <c r="U15" s="198"/>
      <c r="V15" s="198"/>
      <c r="W15" s="300"/>
      <c r="X15" s="198"/>
      <c r="Y15" s="198"/>
      <c r="Z15" s="198"/>
      <c r="AA15" s="300"/>
      <c r="AB15" s="198"/>
      <c r="AC15" s="300"/>
      <c r="AD15" s="198"/>
      <c r="AE15" s="300"/>
      <c r="AF15" s="198"/>
      <c r="AG15" s="198"/>
      <c r="AH15" s="15"/>
    </row>
    <row r="16" spans="2:33" ht="15.75">
      <c r="B16" s="196" t="s">
        <v>13</v>
      </c>
      <c r="C16" s="197">
        <f t="shared" si="0"/>
        <v>0</v>
      </c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</row>
    <row r="17" spans="2:33" ht="15.75">
      <c r="B17" s="196" t="s">
        <v>27</v>
      </c>
      <c r="C17" s="197">
        <f t="shared" si="0"/>
        <v>0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</row>
    <row r="18" spans="2:33" ht="15.75">
      <c r="B18" s="196" t="s">
        <v>37</v>
      </c>
      <c r="C18" s="197">
        <f t="shared" si="0"/>
        <v>0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300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300"/>
    </row>
    <row r="19" spans="2:33" ht="15.75">
      <c r="B19" s="196" t="s">
        <v>41</v>
      </c>
      <c r="C19" s="197">
        <f t="shared" si="0"/>
        <v>0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</row>
    <row r="20" spans="2:33" ht="15.75">
      <c r="B20" s="196" t="s">
        <v>45</v>
      </c>
      <c r="C20" s="197">
        <f t="shared" si="0"/>
        <v>0</v>
      </c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300"/>
      <c r="U20" s="198"/>
      <c r="V20" s="198"/>
      <c r="W20" s="198"/>
      <c r="X20" s="198"/>
      <c r="Y20" s="300"/>
      <c r="Z20" s="198"/>
      <c r="AA20" s="198"/>
      <c r="AB20" s="198"/>
      <c r="AC20" s="300"/>
      <c r="AD20" s="198"/>
      <c r="AE20" s="198"/>
      <c r="AF20" s="198"/>
      <c r="AG20" s="198"/>
    </row>
    <row r="21" spans="2:33" ht="15.75">
      <c r="B21" s="196" t="s">
        <v>49</v>
      </c>
      <c r="C21" s="197">
        <f t="shared" si="0"/>
        <v>0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300"/>
      <c r="Q21" s="198"/>
      <c r="R21" s="198"/>
      <c r="S21" s="198"/>
      <c r="T21" s="198"/>
      <c r="U21" s="198"/>
      <c r="V21" s="300"/>
      <c r="W21" s="198"/>
      <c r="X21" s="300"/>
      <c r="Y21" s="300"/>
      <c r="Z21" s="300"/>
      <c r="AA21" s="198"/>
      <c r="AB21" s="198"/>
      <c r="AC21" s="198"/>
      <c r="AD21" s="198"/>
      <c r="AE21" s="300"/>
      <c r="AF21" s="198"/>
      <c r="AG21" s="300"/>
    </row>
    <row r="22" spans="2:33" ht="15.75">
      <c r="B22" s="196" t="s">
        <v>53</v>
      </c>
      <c r="C22" s="197">
        <f t="shared" si="0"/>
        <v>0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</row>
    <row r="23" spans="2:33" ht="15.75">
      <c r="B23" s="196" t="s">
        <v>43</v>
      </c>
      <c r="C23" s="197">
        <f t="shared" si="0"/>
        <v>0</v>
      </c>
      <c r="D23" s="198"/>
      <c r="E23" s="300"/>
      <c r="F23" s="198"/>
      <c r="G23" s="300"/>
      <c r="H23" s="198"/>
      <c r="I23" s="300"/>
      <c r="J23" s="300"/>
      <c r="K23" s="198"/>
      <c r="L23" s="198"/>
      <c r="M23" s="198"/>
      <c r="N23" s="198"/>
      <c r="O23" s="198"/>
      <c r="P23" s="198"/>
      <c r="Q23" s="198"/>
      <c r="R23" s="198"/>
      <c r="S23" s="198"/>
      <c r="T23" s="300"/>
      <c r="U23" s="300"/>
      <c r="V23" s="198"/>
      <c r="W23" s="198"/>
      <c r="X23" s="198"/>
      <c r="Y23" s="300"/>
      <c r="Z23" s="198"/>
      <c r="AA23" s="300"/>
      <c r="AB23" s="198"/>
      <c r="AC23" s="198"/>
      <c r="AD23" s="300"/>
      <c r="AE23" s="300"/>
      <c r="AF23" s="300"/>
      <c r="AG23" s="198"/>
    </row>
    <row r="24" spans="2:33" ht="15.75">
      <c r="B24" s="196" t="s">
        <v>47</v>
      </c>
      <c r="C24" s="197">
        <f t="shared" si="0"/>
        <v>0</v>
      </c>
      <c r="D24" s="198"/>
      <c r="E24" s="198"/>
      <c r="F24" s="198"/>
      <c r="G24" s="198"/>
      <c r="H24" s="198"/>
      <c r="I24" s="300"/>
      <c r="J24" s="198"/>
      <c r="K24" s="300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300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</row>
    <row r="25" spans="2:33" ht="15.75">
      <c r="B25" s="196" t="s">
        <v>9</v>
      </c>
      <c r="C25" s="197">
        <f t="shared" si="0"/>
        <v>0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</row>
    <row r="26" spans="2:33" ht="15.75">
      <c r="B26" s="199" t="s">
        <v>11</v>
      </c>
      <c r="C26" s="197">
        <f t="shared" si="0"/>
        <v>0</v>
      </c>
      <c r="D26" s="201"/>
      <c r="E26" s="201"/>
      <c r="F26" s="201"/>
      <c r="G26" s="339"/>
      <c r="H26" s="201"/>
      <c r="I26" s="201"/>
      <c r="J26" s="201"/>
      <c r="K26" s="201"/>
      <c r="L26" s="198"/>
      <c r="M26" s="201"/>
      <c r="N26" s="201"/>
      <c r="O26" s="201"/>
      <c r="P26" s="201"/>
      <c r="Q26" s="201"/>
      <c r="R26" s="201"/>
      <c r="S26" s="201"/>
      <c r="T26" s="201"/>
      <c r="U26" s="339"/>
      <c r="V26" s="201"/>
      <c r="W26" s="201"/>
      <c r="X26" s="198"/>
      <c r="Y26" s="339"/>
      <c r="Z26" s="201"/>
      <c r="AA26" s="339"/>
      <c r="AB26" s="201"/>
      <c r="AC26" s="201"/>
      <c r="AD26" s="201"/>
      <c r="AE26" s="201"/>
      <c r="AF26" s="201"/>
      <c r="AG26" s="201"/>
    </row>
    <row r="27" spans="4:33" ht="15.75">
      <c r="D27" s="46">
        <f aca="true" t="shared" si="1" ref="D27:AG27">SUM(D3:D26)</f>
        <v>0</v>
      </c>
      <c r="E27" s="46">
        <f t="shared" si="1"/>
        <v>0</v>
      </c>
      <c r="F27" s="46">
        <f t="shared" si="1"/>
        <v>0</v>
      </c>
      <c r="G27" s="46">
        <f t="shared" si="1"/>
        <v>0</v>
      </c>
      <c r="H27" s="46">
        <f t="shared" si="1"/>
        <v>0</v>
      </c>
      <c r="I27" s="46">
        <f t="shared" si="1"/>
        <v>0</v>
      </c>
      <c r="J27" s="46">
        <f t="shared" si="1"/>
        <v>0</v>
      </c>
      <c r="K27" s="46">
        <f t="shared" si="1"/>
        <v>1</v>
      </c>
      <c r="L27" s="46">
        <f t="shared" si="1"/>
        <v>0</v>
      </c>
      <c r="M27" s="46">
        <f t="shared" si="1"/>
        <v>0</v>
      </c>
      <c r="N27" s="46">
        <f t="shared" si="1"/>
        <v>0</v>
      </c>
      <c r="O27" s="46">
        <f t="shared" si="1"/>
        <v>1</v>
      </c>
      <c r="P27" s="46">
        <f t="shared" si="1"/>
        <v>0</v>
      </c>
      <c r="Q27" s="46">
        <f t="shared" si="1"/>
        <v>0</v>
      </c>
      <c r="R27" s="46">
        <f t="shared" si="1"/>
        <v>0</v>
      </c>
      <c r="S27" s="46">
        <f t="shared" si="1"/>
        <v>0</v>
      </c>
      <c r="T27" s="46">
        <f t="shared" si="1"/>
        <v>1</v>
      </c>
      <c r="U27" s="46">
        <f t="shared" si="1"/>
        <v>0</v>
      </c>
      <c r="V27" s="46">
        <f t="shared" si="1"/>
        <v>0</v>
      </c>
      <c r="W27" s="46">
        <f t="shared" si="1"/>
        <v>0</v>
      </c>
      <c r="X27" s="46">
        <f t="shared" si="1"/>
        <v>1</v>
      </c>
      <c r="Y27" s="46">
        <f t="shared" si="1"/>
        <v>0</v>
      </c>
      <c r="Z27" s="46">
        <f t="shared" si="1"/>
        <v>0</v>
      </c>
      <c r="AA27" s="46">
        <f t="shared" si="1"/>
        <v>0</v>
      </c>
      <c r="AB27" s="46">
        <f t="shared" si="1"/>
        <v>0</v>
      </c>
      <c r="AC27" s="46">
        <f t="shared" si="1"/>
        <v>0</v>
      </c>
      <c r="AD27" s="46">
        <f t="shared" si="1"/>
        <v>3</v>
      </c>
      <c r="AE27" s="46">
        <f t="shared" si="1"/>
        <v>2</v>
      </c>
      <c r="AF27" s="46">
        <f t="shared" si="1"/>
        <v>1</v>
      </c>
      <c r="AG27" s="46">
        <f t="shared" si="1"/>
        <v>2</v>
      </c>
    </row>
    <row r="28" spans="2:33" ht="15.75">
      <c r="B28" s="243"/>
      <c r="C28" s="50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</row>
  </sheetData>
  <sheetProtection selectLockedCells="1" selectUnlockedCells="1"/>
  <autoFilter ref="B2:AG2">
    <sortState ref="B3:AG28">
      <sortCondition descending="1" sortBy="value" ref="C3:C28"/>
    </sortState>
  </autoFilter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32"/>
    </sheetView>
  </sheetViews>
  <sheetFormatPr defaultColWidth="11.57421875" defaultRowHeight="12.75"/>
  <cols>
    <col min="1" max="1" width="8.421875" style="0" customWidth="1"/>
    <col min="2" max="3" width="11.421875" style="0" customWidth="1"/>
    <col min="4" max="4" width="43.00390625" style="0" customWidth="1"/>
    <col min="5" max="5" width="21.7109375" style="253" bestFit="1" customWidth="1"/>
    <col min="6" max="6" width="12.140625" style="10" customWidth="1"/>
    <col min="7" max="7" width="21.7109375" style="253" bestFit="1" customWidth="1"/>
    <col min="8" max="8" width="18.28125" style="253" customWidth="1"/>
    <col min="9" max="16384" width="11.421875" style="0" customWidth="1"/>
  </cols>
  <sheetData>
    <row r="1" spans="1:8" ht="28.5">
      <c r="A1" s="522" t="s">
        <v>185</v>
      </c>
      <c r="B1" s="522"/>
      <c r="C1" s="522"/>
      <c r="D1" s="522"/>
      <c r="E1" s="522"/>
      <c r="F1" s="522"/>
      <c r="G1" s="522"/>
      <c r="H1" s="522"/>
    </row>
    <row r="2" spans="1:9" s="10" customFormat="1" ht="15.75">
      <c r="A2" s="208" t="s">
        <v>74</v>
      </c>
      <c r="B2" s="208" t="s">
        <v>132</v>
      </c>
      <c r="C2" s="208" t="s">
        <v>133</v>
      </c>
      <c r="D2" s="208" t="s">
        <v>134</v>
      </c>
      <c r="E2" s="208" t="s">
        <v>160</v>
      </c>
      <c r="F2" s="208" t="s">
        <v>161</v>
      </c>
      <c r="G2" s="208" t="s">
        <v>162</v>
      </c>
      <c r="H2" s="433" t="s">
        <v>174</v>
      </c>
      <c r="I2" s="158"/>
    </row>
    <row r="3" spans="1:8" ht="15.75">
      <c r="A3" s="343">
        <f>Tourplan!A9</f>
        <v>42075</v>
      </c>
      <c r="B3" s="344">
        <f>Tourplan!B9</f>
        <v>0.6666666666666666</v>
      </c>
      <c r="C3" s="342">
        <f>Tourplan!C9</f>
        <v>5000000</v>
      </c>
      <c r="D3" s="338" t="str">
        <f>Tourplan!D9</f>
        <v>Valspar Championship</v>
      </c>
      <c r="E3" s="234" t="str">
        <f>'12-03'!A4</f>
        <v>John Sørensen</v>
      </c>
      <c r="F3" s="261">
        <f>'12-03'!C4</f>
        <v>38</v>
      </c>
      <c r="G3" s="340"/>
      <c r="H3" s="358"/>
    </row>
    <row r="4" spans="1:8" ht="15.75">
      <c r="A4" s="343">
        <f>Tourplan!A10</f>
        <v>42082</v>
      </c>
      <c r="B4" s="344">
        <f>Tourplan!B10</f>
        <v>0.6666666666666666</v>
      </c>
      <c r="C4" s="342">
        <f>Tourplan!C10</f>
        <v>5000000</v>
      </c>
      <c r="D4" s="338" t="str">
        <f>Tourplan!D10</f>
        <v>Arnold Palmer Invitational</v>
      </c>
      <c r="E4" s="234" t="str">
        <f>'19-03'!A4</f>
        <v>Morten Clausen</v>
      </c>
      <c r="F4" s="261">
        <f>'19-03'!C4</f>
        <v>38</v>
      </c>
      <c r="G4" s="340"/>
      <c r="H4" s="358"/>
    </row>
    <row r="5" spans="1:8" ht="15.75">
      <c r="A5" s="343">
        <f>Tourplan!A11</f>
        <v>42089</v>
      </c>
      <c r="B5" s="344">
        <f>Tourplan!B11</f>
        <v>0.6666666666666666</v>
      </c>
      <c r="C5" s="342">
        <f>Tourplan!C11</f>
        <v>5000000</v>
      </c>
      <c r="D5" s="338" t="str">
        <f>Tourplan!D11</f>
        <v>Valero Texas Open</v>
      </c>
      <c r="E5" s="234" t="str">
        <f>'26-03'!A4</f>
        <v>Bo Hansen</v>
      </c>
      <c r="F5" s="342">
        <f>'26-03'!C4</f>
        <v>40</v>
      </c>
      <c r="G5" s="341"/>
      <c r="H5" s="358"/>
    </row>
    <row r="6" spans="1:8" ht="15.75">
      <c r="A6" s="343">
        <f>Tourplan!A12</f>
        <v>42096</v>
      </c>
      <c r="B6" s="344">
        <f>Tourplan!B12</f>
        <v>0.3333333333333333</v>
      </c>
      <c r="C6" s="342">
        <f>Tourplan!C12</f>
        <v>6000000</v>
      </c>
      <c r="D6" s="338" t="str">
        <f>Tourplan!D12</f>
        <v>Shell Houston Open</v>
      </c>
      <c r="E6" s="234" t="str">
        <f>'02-04'!A4</f>
        <v>Jakob Kristensen</v>
      </c>
      <c r="F6" s="342">
        <f>'02-04'!C4</f>
        <v>37</v>
      </c>
      <c r="G6" s="234" t="s">
        <v>103</v>
      </c>
      <c r="H6" s="358" t="s">
        <v>103</v>
      </c>
    </row>
    <row r="7" spans="1:8" ht="16.5" thickBot="1">
      <c r="A7" s="203">
        <f>Tourplan!A13</f>
        <v>42103</v>
      </c>
      <c r="B7" s="204">
        <f>Tourplan!B13</f>
        <v>0.6666666666666666</v>
      </c>
      <c r="C7" s="205">
        <f>Tourplan!C13</f>
        <v>8000000</v>
      </c>
      <c r="D7" s="346" t="s">
        <v>142</v>
      </c>
      <c r="E7" s="352" t="str">
        <f>'09-04'!A4</f>
        <v>Karsten Valeur</v>
      </c>
      <c r="F7" s="353">
        <f>'09-04'!C4</f>
        <v>36</v>
      </c>
      <c r="G7" s="356" t="s">
        <v>38</v>
      </c>
      <c r="H7" s="357">
        <v>1.76</v>
      </c>
    </row>
    <row r="8" spans="1:8" ht="15.75">
      <c r="A8" s="343">
        <f>Tourplan!A14</f>
        <v>42110</v>
      </c>
      <c r="B8" s="344">
        <f>Tourplan!B14</f>
        <v>0.6666666666666666</v>
      </c>
      <c r="C8" s="342">
        <f>Tourplan!C14</f>
        <v>6000000</v>
      </c>
      <c r="D8" s="338" t="s">
        <v>126</v>
      </c>
      <c r="E8" s="354" t="str">
        <f>'16-04'!A4</f>
        <v>Jens Laigaard</v>
      </c>
      <c r="F8" s="355">
        <f>'16-04'!C4</f>
        <v>34</v>
      </c>
      <c r="G8" s="340" t="s">
        <v>251</v>
      </c>
      <c r="H8" s="358">
        <v>1.53</v>
      </c>
    </row>
    <row r="9" spans="1:8" ht="15.75">
      <c r="A9" s="343">
        <f>Tourplan!A15</f>
        <v>42117</v>
      </c>
      <c r="B9" s="344">
        <f>Tourplan!B15</f>
        <v>0.6666666666666666</v>
      </c>
      <c r="C9" s="342">
        <f>Tourplan!C15</f>
        <v>6000000</v>
      </c>
      <c r="D9" s="338" t="s">
        <v>125</v>
      </c>
      <c r="E9" s="428" t="s">
        <v>16</v>
      </c>
      <c r="F9" s="429">
        <f>'23-04'!C4</f>
        <v>37</v>
      </c>
      <c r="G9" s="430" t="s">
        <v>28</v>
      </c>
      <c r="H9" s="434">
        <v>3.45</v>
      </c>
    </row>
    <row r="10" spans="1:8" ht="15.75">
      <c r="A10" s="343">
        <f>Tourplan!A16</f>
        <v>42124</v>
      </c>
      <c r="B10" s="344">
        <f>Tourplan!B16</f>
        <v>0.6666666666666666</v>
      </c>
      <c r="C10" s="342">
        <f>Tourplan!C16</f>
        <v>6000000</v>
      </c>
      <c r="D10" s="338" t="s">
        <v>194</v>
      </c>
      <c r="E10" s="428" t="str">
        <f>'30-04'!A4</f>
        <v>Morten Clausen</v>
      </c>
      <c r="F10" s="429">
        <f>'30-04'!C4</f>
        <v>39</v>
      </c>
      <c r="G10" s="430" t="s">
        <v>52</v>
      </c>
      <c r="H10" s="434">
        <v>6.29</v>
      </c>
    </row>
    <row r="11" spans="1:8" ht="16.5" thickBot="1">
      <c r="A11" s="203">
        <f>Tourplan!A17</f>
        <v>42131</v>
      </c>
      <c r="B11" s="204">
        <f>Tourplan!B17</f>
        <v>0.6666666666666666</v>
      </c>
      <c r="C11" s="205">
        <f>Tourplan!C17</f>
        <v>6000000</v>
      </c>
      <c r="D11" s="206" t="s">
        <v>123</v>
      </c>
      <c r="E11" s="431" t="str">
        <f>'07-05'!A4</f>
        <v>Erik M. Pedersen</v>
      </c>
      <c r="F11" s="432">
        <f>'07-05'!C4</f>
        <v>72</v>
      </c>
      <c r="G11" s="431" t="s">
        <v>333</v>
      </c>
      <c r="H11" s="435">
        <v>2.81</v>
      </c>
    </row>
    <row r="12" spans="1:8" ht="15.75">
      <c r="A12" s="343">
        <f>Tourplan!A18</f>
        <v>42138</v>
      </c>
      <c r="B12" s="344">
        <f>Tourplan!B18</f>
        <v>0.3333333333333333</v>
      </c>
      <c r="C12" s="342">
        <f>Tourplan!C18</f>
        <v>6000000</v>
      </c>
      <c r="D12" s="338" t="s">
        <v>124</v>
      </c>
      <c r="E12" s="428" t="str">
        <f>'14-05'!A4</f>
        <v>Karsten Valeur</v>
      </c>
      <c r="F12" s="429">
        <f>'14-05'!C4</f>
        <v>35</v>
      </c>
      <c r="G12" s="428" t="s">
        <v>48</v>
      </c>
      <c r="H12" s="434">
        <v>5.04</v>
      </c>
    </row>
    <row r="13" spans="1:8" ht="15.75">
      <c r="A13" s="343">
        <f>Tourplan!A19</f>
        <v>42145</v>
      </c>
      <c r="B13" s="344">
        <f>Tourplan!B19</f>
        <v>0.6666666666666666</v>
      </c>
      <c r="C13" s="342">
        <f>Tourplan!C19</f>
        <v>6000000</v>
      </c>
      <c r="D13" s="338" t="s">
        <v>122</v>
      </c>
      <c r="E13" s="428" t="str">
        <f>'21-05'!A4</f>
        <v>Hans Martin Vestergaard</v>
      </c>
      <c r="F13" s="429">
        <f>'21-05'!C4</f>
        <v>37</v>
      </c>
      <c r="G13" s="428" t="s">
        <v>103</v>
      </c>
      <c r="H13" s="434" t="s">
        <v>103</v>
      </c>
    </row>
    <row r="14" spans="1:8" ht="15.75">
      <c r="A14" s="343">
        <f>Tourplan!A20</f>
        <v>42152</v>
      </c>
      <c r="B14" s="344">
        <f>Tourplan!B20</f>
        <v>0.6666666666666666</v>
      </c>
      <c r="C14" s="342">
        <f>Tourplan!C20</f>
        <v>6000000</v>
      </c>
      <c r="D14" s="338" t="s">
        <v>187</v>
      </c>
      <c r="E14" s="428" t="str">
        <f>'28-05'!A4</f>
        <v>Carsten Dahl</v>
      </c>
      <c r="F14" s="429">
        <f>'28-05'!C4</f>
        <v>38</v>
      </c>
      <c r="G14" s="428" t="s">
        <v>52</v>
      </c>
      <c r="H14" s="434">
        <v>6.38</v>
      </c>
    </row>
    <row r="15" spans="1:8" ht="16.5" thickBot="1">
      <c r="A15" s="203">
        <f>Tourplan!A21</f>
        <v>42159</v>
      </c>
      <c r="B15" s="204">
        <f>Tourplan!B21</f>
        <v>0.6666666666666666</v>
      </c>
      <c r="C15" s="205">
        <f>Tourplan!C21</f>
        <v>6000000</v>
      </c>
      <c r="D15" s="206" t="s">
        <v>188</v>
      </c>
      <c r="E15" s="352" t="str">
        <f>'04-06'!A4</f>
        <v>John Sørensen</v>
      </c>
      <c r="F15" s="353">
        <f>'04-06'!C4</f>
        <v>40</v>
      </c>
      <c r="G15" s="357" t="str">
        <f>'04-06'!A6</f>
        <v>Steen Nybo</v>
      </c>
      <c r="H15" s="357">
        <f>'04-06'!E6</f>
        <v>3.44</v>
      </c>
    </row>
    <row r="16" spans="1:8" ht="15.75">
      <c r="A16" s="343">
        <f>Tourplan!A22</f>
        <v>42166</v>
      </c>
      <c r="B16" s="344">
        <f>Tourplan!B22</f>
        <v>0.6666666666666666</v>
      </c>
      <c r="C16" s="342">
        <f>Tourplan!C22</f>
        <v>6000000</v>
      </c>
      <c r="D16" s="338" t="s">
        <v>120</v>
      </c>
      <c r="E16" s="354" t="str">
        <f>'11-06'!A4</f>
        <v>Jakob Kristensen</v>
      </c>
      <c r="F16" s="355">
        <f>'11-06'!C4</f>
        <v>37</v>
      </c>
      <c r="G16" s="354" t="str">
        <f>'11-06'!A6</f>
        <v>Jesper Vohs Nielsen</v>
      </c>
      <c r="H16" s="442">
        <f>'11-06'!E6</f>
        <v>3.59</v>
      </c>
    </row>
    <row r="17" spans="1:8" ht="15.75">
      <c r="A17" s="343">
        <f>Tourplan!A23</f>
        <v>42173</v>
      </c>
      <c r="B17" s="344">
        <f>Tourplan!B23</f>
        <v>0.6666666666666666</v>
      </c>
      <c r="C17" s="342">
        <f>Tourplan!C23</f>
        <v>8000000</v>
      </c>
      <c r="D17" s="345" t="s">
        <v>144</v>
      </c>
      <c r="E17" s="354" t="str">
        <f>'18-06'!A4</f>
        <v>Børge Heiberg</v>
      </c>
      <c r="F17" s="355">
        <f>'18-06'!C4</f>
        <v>69</v>
      </c>
      <c r="G17" s="354" t="str">
        <f>'18-06'!A17</f>
        <v>Jesper Vohs Nielsen</v>
      </c>
      <c r="H17" s="442">
        <f>'18-06'!E17</f>
        <v>0.72</v>
      </c>
    </row>
    <row r="18" spans="1:8" ht="15.75">
      <c r="A18" s="343">
        <f>Tourplan!A24</f>
        <v>42180</v>
      </c>
      <c r="B18" s="344">
        <f>Tourplan!B24</f>
        <v>0.6666666666666666</v>
      </c>
      <c r="C18" s="342">
        <f>Tourplan!C24</f>
        <v>6000000</v>
      </c>
      <c r="D18" s="338" t="s">
        <v>118</v>
      </c>
      <c r="E18" s="354" t="s">
        <v>292</v>
      </c>
      <c r="F18" s="443">
        <f>'25-06'!C4</f>
        <v>61</v>
      </c>
      <c r="G18" s="354" t="str">
        <f>'25-06'!A18</f>
        <v>Carsten L</v>
      </c>
      <c r="H18" s="442" t="s">
        <v>197</v>
      </c>
    </row>
    <row r="19" spans="1:8" ht="16.5" thickBot="1">
      <c r="A19" s="203">
        <f>Tourplan!A25</f>
        <v>42187</v>
      </c>
      <c r="B19" s="204">
        <f>Tourplan!B25</f>
        <v>0.6666666666666666</v>
      </c>
      <c r="C19" s="205">
        <f>Tourplan!C25</f>
        <v>6000000</v>
      </c>
      <c r="D19" s="206" t="s">
        <v>145</v>
      </c>
      <c r="E19" s="352" t="str">
        <f>'02-07'!A4</f>
        <v>Karsten Valeur</v>
      </c>
      <c r="F19" s="453">
        <f>'02-07'!C4</f>
        <v>37</v>
      </c>
      <c r="G19" s="352" t="str">
        <f>'02-07'!A4</f>
        <v>Karsten Valeur</v>
      </c>
      <c r="H19" s="357">
        <f>'02-07'!E4</f>
        <v>2.87</v>
      </c>
    </row>
    <row r="20" spans="1:8" ht="15.75">
      <c r="A20" s="343">
        <f>Tourplan!A26</f>
        <v>42194</v>
      </c>
      <c r="B20" s="344">
        <f>Tourplan!B26</f>
        <v>0.6666666666666666</v>
      </c>
      <c r="C20" s="342">
        <f>Tourplan!C26</f>
        <v>6000000</v>
      </c>
      <c r="D20" s="338" t="s">
        <v>117</v>
      </c>
      <c r="E20" s="354" t="str">
        <f>'09-07'!A4</f>
        <v>Jesper Vohs Nielsen</v>
      </c>
      <c r="F20" s="443">
        <f>'09-07'!C4</f>
        <v>35</v>
      </c>
      <c r="G20" s="354" t="str">
        <f>'09-07'!A9</f>
        <v>Morten Clausen</v>
      </c>
      <c r="H20" s="442">
        <f>'09-07'!E9</f>
        <v>3.27</v>
      </c>
    </row>
    <row r="21" spans="1:8" ht="15.75">
      <c r="A21" s="343">
        <f>Tourplan!A27</f>
        <v>42201</v>
      </c>
      <c r="B21" s="344">
        <f>Tourplan!B27</f>
        <v>0.6666666666666666</v>
      </c>
      <c r="C21" s="342">
        <f>Tourplan!C27</f>
        <v>8000000</v>
      </c>
      <c r="D21" s="345" t="s">
        <v>146</v>
      </c>
      <c r="E21" s="354" t="str">
        <f>'16-07'!A4</f>
        <v>Børge Heiberg</v>
      </c>
      <c r="F21" s="355">
        <f>'16-07'!C4</f>
        <v>41</v>
      </c>
      <c r="G21" s="442" t="str">
        <f>'16-07'!A8</f>
        <v>Robin Thybo</v>
      </c>
      <c r="H21" s="442">
        <f>'16-07'!E8</f>
        <v>4.99</v>
      </c>
    </row>
    <row r="22" spans="1:8" ht="15.75">
      <c r="A22" s="343">
        <f>Tourplan!A28</f>
        <v>42208</v>
      </c>
      <c r="B22" s="344">
        <f>Tourplan!B28</f>
        <v>0.6666666666666666</v>
      </c>
      <c r="C22" s="342">
        <f>Tourplan!C28</f>
        <v>6000000</v>
      </c>
      <c r="D22" s="338" t="s">
        <v>115</v>
      </c>
      <c r="E22" s="354" t="str">
        <f>'23-07'!A4</f>
        <v>Robin Thybo</v>
      </c>
      <c r="F22" s="355">
        <f>'23-07'!C4</f>
        <v>37</v>
      </c>
      <c r="G22" s="354" t="s">
        <v>103</v>
      </c>
      <c r="H22" s="442" t="s">
        <v>103</v>
      </c>
    </row>
    <row r="23" spans="1:8" ht="15.75">
      <c r="A23" s="343">
        <f>Tourplan!A29</f>
        <v>42215</v>
      </c>
      <c r="B23" s="344">
        <f>Tourplan!B29</f>
        <v>0.6666666666666666</v>
      </c>
      <c r="C23" s="342">
        <f>Tourplan!C29</f>
        <v>6000000</v>
      </c>
      <c r="D23" s="338" t="s">
        <v>190</v>
      </c>
      <c r="E23" s="354" t="str">
        <f>'30-07'!A4</f>
        <v>Børge Heiberg</v>
      </c>
      <c r="F23" s="443">
        <f>'30-07'!C4</f>
        <v>35</v>
      </c>
      <c r="G23" s="354" t="str">
        <f>'30-07'!A8</f>
        <v>Robin Thybo</v>
      </c>
      <c r="H23" s="442">
        <f>'30-07'!E8</f>
        <v>1.58</v>
      </c>
    </row>
    <row r="24" spans="1:8" ht="16.5" thickBot="1">
      <c r="A24" s="203">
        <f>Tourplan!A30</f>
        <v>42222</v>
      </c>
      <c r="B24" s="204">
        <f>Tourplan!B30</f>
        <v>0.6666666666666666</v>
      </c>
      <c r="C24" s="205">
        <f>Tourplan!C30</f>
        <v>6000000</v>
      </c>
      <c r="D24" s="206" t="s">
        <v>189</v>
      </c>
      <c r="E24" s="431" t="str">
        <f>'06-08'!A4</f>
        <v>Martin Andersen</v>
      </c>
      <c r="F24" s="460">
        <f>'06-08'!C4</f>
        <v>45</v>
      </c>
      <c r="G24" s="462" t="s">
        <v>28</v>
      </c>
      <c r="H24" s="435">
        <f>'06-08'!E7</f>
        <v>2.23</v>
      </c>
    </row>
    <row r="25" spans="1:8" ht="15.75">
      <c r="A25" s="343">
        <f>Tourplan!A31</f>
        <v>42229</v>
      </c>
      <c r="B25" s="344">
        <f>Tourplan!B31</f>
        <v>0.6666666666666666</v>
      </c>
      <c r="C25" s="342">
        <f>Tourplan!C31</f>
        <v>8000000</v>
      </c>
      <c r="D25" s="345" t="s">
        <v>148</v>
      </c>
      <c r="E25" s="428" t="str">
        <f>'13-08'!A4</f>
        <v>Finn E. Christensen</v>
      </c>
      <c r="F25" s="429">
        <f>'13-08'!C4</f>
        <v>66</v>
      </c>
      <c r="G25" s="434" t="str">
        <f>'13-08'!A4</f>
        <v>Finn E. Christensen</v>
      </c>
      <c r="H25" s="434">
        <f>'13-08'!E4</f>
        <v>17.73</v>
      </c>
    </row>
    <row r="26" spans="1:8" ht="15.75">
      <c r="A26" s="343">
        <f>Tourplan!A32</f>
        <v>42236</v>
      </c>
      <c r="B26" s="344">
        <f>Tourplan!B32</f>
        <v>0.6666666666666666</v>
      </c>
      <c r="C26" s="342">
        <f>Tourplan!C32</f>
        <v>6000000</v>
      </c>
      <c r="D26" s="338" t="str">
        <f>Tourplan!D32</f>
        <v>Wyndham Championship</v>
      </c>
      <c r="E26" s="428" t="str">
        <f>'20-08'!A4</f>
        <v>John Sørensen</v>
      </c>
      <c r="F26" s="461">
        <f>'20-08'!C4</f>
        <v>39</v>
      </c>
      <c r="G26" s="428" t="str">
        <f>'20-08'!A12</f>
        <v>Børge Heiberg</v>
      </c>
      <c r="H26" s="434">
        <f>'20-08'!E12</f>
        <v>6.86</v>
      </c>
    </row>
    <row r="27" spans="1:8" ht="15.75">
      <c r="A27" s="343">
        <f>Tourplan!A33</f>
        <v>42243</v>
      </c>
      <c r="B27" s="344">
        <f>Tourplan!B33</f>
        <v>0.6666666666666666</v>
      </c>
      <c r="C27" s="342">
        <f>Tourplan!C33</f>
        <v>6000000</v>
      </c>
      <c r="D27" s="338" t="str">
        <f>Tourplan!D33</f>
        <v>The Barclays</v>
      </c>
      <c r="E27" s="428" t="str">
        <f>'27-08'!A4</f>
        <v>Jan Hegner</v>
      </c>
      <c r="F27" s="429">
        <f>'27-08'!C4</f>
        <v>39</v>
      </c>
      <c r="G27" s="428" t="str">
        <f>'27-08'!A4</f>
        <v>Jan Hegner</v>
      </c>
      <c r="H27" s="434">
        <f>'27-08'!E4</f>
        <v>7.99</v>
      </c>
    </row>
    <row r="28" spans="1:8" ht="16.5" thickBot="1">
      <c r="A28" s="203">
        <f>Tourplan!A34</f>
        <v>42250</v>
      </c>
      <c r="B28" s="204">
        <f>Tourplan!B34</f>
        <v>0.6666666666666666</v>
      </c>
      <c r="C28" s="205">
        <f>Tourplan!C34</f>
        <v>6000000</v>
      </c>
      <c r="D28" s="206" t="str">
        <f>Tourplan!D34</f>
        <v>Deutsche Bank Championship</v>
      </c>
      <c r="E28" s="431" t="str">
        <f>'03-09'!A4</f>
        <v>Morten Clausen</v>
      </c>
      <c r="F28" s="432">
        <f>'03-09'!C4</f>
        <v>42</v>
      </c>
      <c r="G28" s="431" t="str">
        <f>'03-09'!A9</f>
        <v>Robin Thybo</v>
      </c>
      <c r="H28" s="435">
        <f>'03-09'!E9</f>
        <v>6.49</v>
      </c>
    </row>
    <row r="29" spans="1:8" ht="15.75">
      <c r="A29" s="343">
        <f>Tourplan!A35</f>
        <v>42257</v>
      </c>
      <c r="B29" s="344">
        <f>Tourplan!B35</f>
        <v>0.6666666666666666</v>
      </c>
      <c r="C29" s="342">
        <f>Tourplan!C35</f>
        <v>6000000</v>
      </c>
      <c r="D29" s="338" t="str">
        <f>Tourplan!D35</f>
        <v>InnGolf Championship</v>
      </c>
      <c r="E29" s="354" t="str">
        <f>'10-09'!A4</f>
        <v>Børge Heiberg</v>
      </c>
      <c r="F29" s="355">
        <f>'10-09'!C4</f>
        <v>38</v>
      </c>
      <c r="G29" s="354" t="str">
        <f>'10-09'!A9</f>
        <v>Jan Hegner</v>
      </c>
      <c r="H29" s="442">
        <f>'10-09'!E9</f>
        <v>2.77</v>
      </c>
    </row>
    <row r="30" spans="1:8" ht="15.75">
      <c r="A30" s="343">
        <f>Tourplan!A37</f>
        <v>42264</v>
      </c>
      <c r="B30" s="344">
        <f>Tourplan!B37</f>
        <v>0.6666666666666666</v>
      </c>
      <c r="C30" s="342">
        <f>Tourplan!C37</f>
        <v>6000000</v>
      </c>
      <c r="D30" s="338" t="str">
        <f>Tourplan!D37</f>
        <v>BMW Championship</v>
      </c>
      <c r="E30" s="354" t="str">
        <f>'17-09'!A4</f>
        <v>Steen Nybo</v>
      </c>
      <c r="F30" s="465">
        <f>'17-09'!C4</f>
        <v>30</v>
      </c>
      <c r="G30" s="354" t="str">
        <f>'17-09'!A14</f>
        <v>Karsten Valeur</v>
      </c>
      <c r="H30" s="442">
        <f>'17-09'!E14</f>
        <v>5.69</v>
      </c>
    </row>
    <row r="31" spans="1:8" ht="15.75">
      <c r="A31" s="343">
        <f>Tourplan!A38</f>
        <v>42271</v>
      </c>
      <c r="B31" s="344">
        <f>Tourplan!B38</f>
        <v>0.6666666666666666</v>
      </c>
      <c r="C31" s="342">
        <f>Tourplan!C38</f>
        <v>7000000</v>
      </c>
      <c r="D31" s="338" t="str">
        <f>Tourplan!D38</f>
        <v>TOUR Championship by Coca-Cola</v>
      </c>
      <c r="E31" s="354" t="str">
        <f>'24-09'!A4</f>
        <v>Jesper Vohs Nielsen</v>
      </c>
      <c r="F31" s="355">
        <f>'24-09'!C4</f>
        <v>15</v>
      </c>
      <c r="G31" s="354" t="str">
        <f>'24-09'!A13</f>
        <v>Karsten Valeur</v>
      </c>
      <c r="H31" s="442">
        <f>'24-09'!E13</f>
        <v>7.25</v>
      </c>
    </row>
    <row r="32" spans="1:8" ht="16.5" thickBot="1">
      <c r="A32" s="203">
        <f>Tourplan!A39</f>
        <v>42278</v>
      </c>
      <c r="B32" s="204">
        <f>Tourplan!B39</f>
        <v>0.6666666666666666</v>
      </c>
      <c r="C32" s="205">
        <f>Tourplan!C39</f>
        <v>8000000</v>
      </c>
      <c r="D32" s="206" t="str">
        <f>Tourplan!D39</f>
        <v>InnGolf Captains Cup</v>
      </c>
      <c r="E32" s="352"/>
      <c r="F32" s="353"/>
      <c r="G32" s="352"/>
      <c r="H32" s="357"/>
    </row>
    <row r="33" spans="1:8" ht="15.75">
      <c r="A33" s="343">
        <f>Tourplan!A40</f>
        <v>42285</v>
      </c>
      <c r="B33" s="344">
        <f>Tourplan!B40</f>
        <v>0.6666666666666666</v>
      </c>
      <c r="C33" s="342">
        <f>Tourplan!C40</f>
        <v>9000000</v>
      </c>
      <c r="D33" s="338" t="str">
        <f>Tourplan!D40</f>
        <v>InnGolf Fall Final</v>
      </c>
      <c r="E33" s="347" t="str">
        <f>'08-10'!A4</f>
        <v>Bo Hansen</v>
      </c>
      <c r="F33" s="348">
        <f>'08-10'!C4</f>
        <v>18</v>
      </c>
      <c r="G33" s="234"/>
      <c r="H33" s="358"/>
    </row>
    <row r="34" spans="1:8" ht="15.75">
      <c r="A34" s="343">
        <f>Tourplan!A41</f>
        <v>42287</v>
      </c>
      <c r="B34" s="344">
        <f>Tourplan!B41</f>
        <v>0.3333333333333333</v>
      </c>
      <c r="C34" s="342">
        <f>Tourplan!C41</f>
        <v>10000000</v>
      </c>
      <c r="D34" s="338" t="str">
        <f>Tourplan!D41</f>
        <v>The InnGolf Final 2015</v>
      </c>
      <c r="E34" s="347" t="str">
        <f>'10-10'!A4</f>
        <v>Robin Thybo</v>
      </c>
      <c r="F34" s="348">
        <f>'10-10'!C4</f>
        <v>56</v>
      </c>
      <c r="G34" s="234"/>
      <c r="H34" s="358"/>
    </row>
    <row r="35" spans="1:8" ht="15.75">
      <c r="A35" s="159"/>
      <c r="B35" s="160"/>
      <c r="C35" s="166"/>
      <c r="D35" s="162"/>
      <c r="E35" s="233"/>
      <c r="F35" s="161"/>
      <c r="G35" s="233"/>
      <c r="H35" s="233"/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66FF"/>
  </sheetPr>
  <dimension ref="A1:AO31"/>
  <sheetViews>
    <sheetView zoomScale="150" zoomScaleNormal="150" zoomScalePageLayoutView="0" workbookViewId="0" topLeftCell="A1">
      <selection activeCell="L21" sqref="L21"/>
    </sheetView>
  </sheetViews>
  <sheetFormatPr defaultColWidth="9.140625" defaultRowHeight="12.75"/>
  <cols>
    <col min="1" max="1" width="2.140625" style="15" customWidth="1"/>
    <col min="2" max="2" width="25.00390625" style="15" customWidth="1"/>
    <col min="3" max="3" width="15.140625" style="39" customWidth="1"/>
    <col min="4" max="19" width="3.28125" style="39" customWidth="1"/>
    <col min="20" max="32" width="3.28125" style="17" customWidth="1"/>
    <col min="33" max="34" width="3.28125" style="15" customWidth="1"/>
    <col min="35" max="35" width="3.8515625" style="40" customWidth="1"/>
    <col min="36" max="40" width="3.8515625" style="15" customWidth="1"/>
    <col min="41" max="16384" width="9.140625" style="15" customWidth="1"/>
  </cols>
  <sheetData>
    <row r="1" spans="3:40" ht="21.75" customHeight="1">
      <c r="C1" s="18" t="s">
        <v>62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15"/>
      <c r="AN1" s="40"/>
    </row>
    <row r="2" spans="2:40" s="20" customFormat="1" ht="68.25" customHeight="1">
      <c r="B2" s="21"/>
      <c r="C2" s="53" t="s">
        <v>63</v>
      </c>
      <c r="D2" s="237">
        <v>42287</v>
      </c>
      <c r="E2" s="237">
        <v>42285</v>
      </c>
      <c r="F2" s="237">
        <v>42278</v>
      </c>
      <c r="G2" s="237">
        <v>42271</v>
      </c>
      <c r="H2" s="237">
        <v>42264</v>
      </c>
      <c r="I2" s="237">
        <v>42257</v>
      </c>
      <c r="J2" s="237">
        <v>42250</v>
      </c>
      <c r="K2" s="237">
        <v>42245</v>
      </c>
      <c r="L2" s="237">
        <v>42243</v>
      </c>
      <c r="M2" s="237">
        <v>42236</v>
      </c>
      <c r="N2" s="237">
        <v>42229</v>
      </c>
      <c r="O2" s="237">
        <v>42222</v>
      </c>
      <c r="P2" s="237">
        <v>42215</v>
      </c>
      <c r="Q2" s="237">
        <v>42208</v>
      </c>
      <c r="R2" s="237">
        <v>42201</v>
      </c>
      <c r="S2" s="237">
        <v>42194</v>
      </c>
      <c r="T2" s="237">
        <v>42187</v>
      </c>
      <c r="U2" s="237">
        <v>42180</v>
      </c>
      <c r="V2" s="237">
        <v>42174</v>
      </c>
      <c r="W2" s="237">
        <v>42166</v>
      </c>
      <c r="X2" s="237">
        <v>42159</v>
      </c>
      <c r="Y2" s="237">
        <v>42154</v>
      </c>
      <c r="Z2" s="237">
        <v>42152</v>
      </c>
      <c r="AA2" s="237">
        <v>42145</v>
      </c>
      <c r="AB2" s="237">
        <v>42138</v>
      </c>
      <c r="AC2" s="237">
        <v>42131</v>
      </c>
      <c r="AD2" s="237">
        <v>42124</v>
      </c>
      <c r="AE2" s="237">
        <v>42117</v>
      </c>
      <c r="AF2" s="237">
        <v>42110</v>
      </c>
      <c r="AG2" s="237">
        <v>42103</v>
      </c>
      <c r="AH2" s="237">
        <v>42096</v>
      </c>
      <c r="AI2" s="239" t="s">
        <v>64</v>
      </c>
      <c r="AJ2" s="239" t="s">
        <v>65</v>
      </c>
      <c r="AK2" s="239" t="s">
        <v>66</v>
      </c>
      <c r="AL2" s="239" t="s">
        <v>165</v>
      </c>
      <c r="AN2" s="43"/>
    </row>
    <row r="3" spans="2:40" ht="15.75">
      <c r="B3" s="196" t="s">
        <v>49</v>
      </c>
      <c r="C3" s="197">
        <f aca="true" t="shared" si="0" ref="C3:C26">(SUM(D3:AH3)+AJ3*37)/AK3</f>
        <v>29.666666666666668</v>
      </c>
      <c r="D3" s="198">
        <v>27</v>
      </c>
      <c r="E3" s="454" t="s">
        <v>299</v>
      </c>
      <c r="F3" s="454" t="s">
        <v>320</v>
      </c>
      <c r="G3" s="198">
        <v>32</v>
      </c>
      <c r="H3" s="454" t="s">
        <v>320</v>
      </c>
      <c r="I3" s="198">
        <v>33</v>
      </c>
      <c r="J3" s="198">
        <v>30</v>
      </c>
      <c r="K3" s="198">
        <v>28</v>
      </c>
      <c r="L3" s="198">
        <v>30</v>
      </c>
      <c r="M3" s="454" t="s">
        <v>303</v>
      </c>
      <c r="N3" s="198">
        <v>26</v>
      </c>
      <c r="O3" s="198">
        <v>28</v>
      </c>
      <c r="P3" s="198">
        <v>28</v>
      </c>
      <c r="Q3" s="300">
        <v>25</v>
      </c>
      <c r="R3" s="454" t="s">
        <v>320</v>
      </c>
      <c r="S3" s="198"/>
      <c r="T3" s="198"/>
      <c r="U3" s="446"/>
      <c r="V3" s="300">
        <v>30</v>
      </c>
      <c r="W3" s="454" t="s">
        <v>303</v>
      </c>
      <c r="X3" s="300">
        <v>27</v>
      </c>
      <c r="Y3" s="300">
        <v>28</v>
      </c>
      <c r="Z3" s="300">
        <v>34</v>
      </c>
      <c r="AA3" s="300">
        <v>33</v>
      </c>
      <c r="AB3" s="198">
        <v>32</v>
      </c>
      <c r="AC3" s="198">
        <v>32</v>
      </c>
      <c r="AD3" s="198"/>
      <c r="AE3" s="198">
        <v>31</v>
      </c>
      <c r="AF3" s="454" t="s">
        <v>303</v>
      </c>
      <c r="AG3" s="454" t="s">
        <v>323</v>
      </c>
      <c r="AH3" s="300"/>
      <c r="AI3" s="44">
        <f aca="true" t="shared" si="1" ref="AI3:AI26">COUNTIF(D3:AH3,"&gt;0")</f>
        <v>18</v>
      </c>
      <c r="AJ3" s="45">
        <f aca="true" t="shared" si="2" ref="AJ3:AJ26">IF(AI3&lt;19,18-AI3,0)</f>
        <v>0</v>
      </c>
      <c r="AK3" s="45">
        <f aca="true" t="shared" si="3" ref="AK3:AK26">SUM(AI3:AJ3)</f>
        <v>18</v>
      </c>
      <c r="AL3" s="45">
        <f aca="true" t="shared" si="4" ref="AL3:AL26">LARGE(D3:AH3,1)</f>
        <v>34</v>
      </c>
      <c r="AN3" s="40" t="str">
        <f aca="true" t="shared" si="5" ref="AN3:AN26">IF(AI3&gt;18,"OBS"," ")</f>
        <v> </v>
      </c>
    </row>
    <row r="4" spans="2:41" s="24" customFormat="1" ht="15.75">
      <c r="B4" s="196" t="s">
        <v>19</v>
      </c>
      <c r="C4" s="197">
        <f t="shared" si="0"/>
        <v>31.61111111111111</v>
      </c>
      <c r="D4" s="198">
        <v>31</v>
      </c>
      <c r="E4" s="454" t="s">
        <v>303</v>
      </c>
      <c r="F4" s="198">
        <v>32</v>
      </c>
      <c r="G4" s="454" t="s">
        <v>327</v>
      </c>
      <c r="H4" s="198">
        <v>32</v>
      </c>
      <c r="I4" s="198">
        <v>31</v>
      </c>
      <c r="J4" s="454" t="s">
        <v>302</v>
      </c>
      <c r="K4" s="198">
        <v>33</v>
      </c>
      <c r="L4" s="198">
        <v>34</v>
      </c>
      <c r="M4" s="454" t="s">
        <v>303</v>
      </c>
      <c r="N4" s="198"/>
      <c r="O4" s="454" t="s">
        <v>323</v>
      </c>
      <c r="P4" s="198">
        <v>29</v>
      </c>
      <c r="Q4" s="198"/>
      <c r="R4" s="198">
        <v>27</v>
      </c>
      <c r="S4" s="454" t="s">
        <v>323</v>
      </c>
      <c r="T4" s="454" t="s">
        <v>320</v>
      </c>
      <c r="U4" s="445"/>
      <c r="V4" s="300">
        <v>32</v>
      </c>
      <c r="W4" s="454" t="s">
        <v>323</v>
      </c>
      <c r="X4" s="198">
        <v>32</v>
      </c>
      <c r="Y4" s="198">
        <v>33</v>
      </c>
      <c r="Z4" s="300">
        <v>32</v>
      </c>
      <c r="AA4" s="198">
        <v>33</v>
      </c>
      <c r="AB4" s="198">
        <v>30</v>
      </c>
      <c r="AC4" s="198">
        <v>31</v>
      </c>
      <c r="AD4" s="300">
        <v>32</v>
      </c>
      <c r="AE4" s="198"/>
      <c r="AF4" s="300">
        <v>32</v>
      </c>
      <c r="AG4" s="454" t="s">
        <v>303</v>
      </c>
      <c r="AH4" s="300">
        <v>33</v>
      </c>
      <c r="AI4" s="44">
        <f t="shared" si="1"/>
        <v>18</v>
      </c>
      <c r="AJ4" s="45">
        <f t="shared" si="2"/>
        <v>0</v>
      </c>
      <c r="AK4" s="45">
        <f t="shared" si="3"/>
        <v>18</v>
      </c>
      <c r="AL4" s="45">
        <f t="shared" si="4"/>
        <v>34</v>
      </c>
      <c r="AM4" s="15"/>
      <c r="AN4" s="40" t="str">
        <f t="shared" si="5"/>
        <v> </v>
      </c>
      <c r="AO4" s="15"/>
    </row>
    <row r="5" spans="2:40" ht="15.75">
      <c r="B5" s="196" t="s">
        <v>35</v>
      </c>
      <c r="C5" s="197">
        <f t="shared" si="0"/>
        <v>31.77777777777778</v>
      </c>
      <c r="D5" s="300">
        <v>33</v>
      </c>
      <c r="E5" s="454" t="s">
        <v>299</v>
      </c>
      <c r="F5" s="300">
        <v>31</v>
      </c>
      <c r="G5" s="300">
        <v>30</v>
      </c>
      <c r="H5" s="198">
        <v>33</v>
      </c>
      <c r="I5" s="198">
        <v>28</v>
      </c>
      <c r="J5" s="198">
        <v>30</v>
      </c>
      <c r="K5" s="198">
        <v>34</v>
      </c>
      <c r="L5" s="454" t="s">
        <v>302</v>
      </c>
      <c r="M5" s="454" t="s">
        <v>303</v>
      </c>
      <c r="N5" s="198">
        <v>33</v>
      </c>
      <c r="O5" s="198">
        <v>33</v>
      </c>
      <c r="P5" s="300" t="s">
        <v>320</v>
      </c>
      <c r="Q5" s="454" t="s">
        <v>320</v>
      </c>
      <c r="R5" s="454" t="s">
        <v>303</v>
      </c>
      <c r="S5" s="198">
        <v>27</v>
      </c>
      <c r="T5" s="454" t="s">
        <v>302</v>
      </c>
      <c r="U5" s="445"/>
      <c r="V5" s="198">
        <v>29</v>
      </c>
      <c r="W5" s="454" t="s">
        <v>320</v>
      </c>
      <c r="X5" s="198">
        <v>34</v>
      </c>
      <c r="Y5" s="454" t="s">
        <v>299</v>
      </c>
      <c r="Z5" s="300">
        <v>33</v>
      </c>
      <c r="AA5" s="198">
        <v>34</v>
      </c>
      <c r="AB5" s="198">
        <v>32</v>
      </c>
      <c r="AC5" s="198">
        <v>31</v>
      </c>
      <c r="AD5" s="300"/>
      <c r="AE5" s="454" t="s">
        <v>296</v>
      </c>
      <c r="AF5" s="198">
        <v>34</v>
      </c>
      <c r="AG5" s="454" t="s">
        <v>323</v>
      </c>
      <c r="AH5" s="300">
        <v>33</v>
      </c>
      <c r="AI5" s="44">
        <f t="shared" si="1"/>
        <v>18</v>
      </c>
      <c r="AJ5" s="45">
        <f t="shared" si="2"/>
        <v>0</v>
      </c>
      <c r="AK5" s="45">
        <f t="shared" si="3"/>
        <v>18</v>
      </c>
      <c r="AL5" s="45">
        <f t="shared" si="4"/>
        <v>34</v>
      </c>
      <c r="AM5" s="25"/>
      <c r="AN5" s="40" t="str">
        <f t="shared" si="5"/>
        <v> </v>
      </c>
    </row>
    <row r="6" spans="1:41" s="25" customFormat="1" ht="15.75">
      <c r="A6" s="15"/>
      <c r="B6" s="196" t="s">
        <v>29</v>
      </c>
      <c r="C6" s="197">
        <f t="shared" si="0"/>
        <v>31.833333333333332</v>
      </c>
      <c r="D6" s="198">
        <v>33</v>
      </c>
      <c r="E6" s="198">
        <v>30</v>
      </c>
      <c r="F6" s="454" t="s">
        <v>320</v>
      </c>
      <c r="G6" s="198">
        <v>34</v>
      </c>
      <c r="H6" s="454" t="s">
        <v>320</v>
      </c>
      <c r="I6" s="300">
        <v>31</v>
      </c>
      <c r="J6" s="198">
        <v>34</v>
      </c>
      <c r="K6" s="198">
        <v>29</v>
      </c>
      <c r="L6" s="198">
        <v>31</v>
      </c>
      <c r="M6" s="454" t="s">
        <v>303</v>
      </c>
      <c r="N6" s="198">
        <v>31</v>
      </c>
      <c r="O6" s="198">
        <v>29</v>
      </c>
      <c r="P6" s="300">
        <v>33</v>
      </c>
      <c r="Q6" s="300"/>
      <c r="R6" s="198">
        <v>30</v>
      </c>
      <c r="S6" s="198">
        <v>34</v>
      </c>
      <c r="T6" s="454" t="s">
        <v>302</v>
      </c>
      <c r="U6" s="446"/>
      <c r="V6" s="198">
        <v>34</v>
      </c>
      <c r="W6" s="300">
        <v>33</v>
      </c>
      <c r="X6" s="198">
        <v>28</v>
      </c>
      <c r="Y6" s="198">
        <v>34</v>
      </c>
      <c r="Z6" s="198"/>
      <c r="AA6" s="198">
        <v>32</v>
      </c>
      <c r="AB6" s="454" t="s">
        <v>320</v>
      </c>
      <c r="AC6" s="198">
        <v>33</v>
      </c>
      <c r="AD6" s="454" t="s">
        <v>302</v>
      </c>
      <c r="AE6" s="454" t="s">
        <v>320</v>
      </c>
      <c r="AF6" s="454" t="s">
        <v>300</v>
      </c>
      <c r="AG6" s="454" t="s">
        <v>323</v>
      </c>
      <c r="AH6" s="454" t="s">
        <v>303</v>
      </c>
      <c r="AI6" s="44">
        <f t="shared" si="1"/>
        <v>18</v>
      </c>
      <c r="AJ6" s="45">
        <f t="shared" si="2"/>
        <v>0</v>
      </c>
      <c r="AK6" s="45">
        <f t="shared" si="3"/>
        <v>18</v>
      </c>
      <c r="AL6" s="45">
        <f t="shared" si="4"/>
        <v>34</v>
      </c>
      <c r="AM6" s="15"/>
      <c r="AN6" s="40" t="str">
        <f t="shared" si="5"/>
        <v> </v>
      </c>
      <c r="AO6" s="15"/>
    </row>
    <row r="7" spans="1:41" s="25" customFormat="1" ht="15.75">
      <c r="A7" s="15"/>
      <c r="B7" s="196" t="s">
        <v>31</v>
      </c>
      <c r="C7" s="197">
        <f t="shared" si="0"/>
        <v>31.944444444444443</v>
      </c>
      <c r="D7" s="198">
        <v>32</v>
      </c>
      <c r="E7" s="454" t="s">
        <v>299</v>
      </c>
      <c r="F7" s="454" t="s">
        <v>303</v>
      </c>
      <c r="G7" s="198"/>
      <c r="H7" s="198"/>
      <c r="I7" s="300">
        <v>33</v>
      </c>
      <c r="J7" s="300"/>
      <c r="K7" s="300">
        <v>30</v>
      </c>
      <c r="L7" s="300">
        <v>30</v>
      </c>
      <c r="M7" s="198">
        <v>31</v>
      </c>
      <c r="N7" s="198">
        <v>29</v>
      </c>
      <c r="O7" s="198">
        <v>35</v>
      </c>
      <c r="P7" s="198">
        <v>34</v>
      </c>
      <c r="Q7" s="454" t="s">
        <v>303</v>
      </c>
      <c r="R7" s="198">
        <v>31</v>
      </c>
      <c r="S7" s="198"/>
      <c r="T7" s="454" t="s">
        <v>302</v>
      </c>
      <c r="U7" s="446"/>
      <c r="V7" s="300">
        <v>32</v>
      </c>
      <c r="W7" s="198">
        <v>34</v>
      </c>
      <c r="X7" s="198">
        <v>31</v>
      </c>
      <c r="Y7" s="454" t="s">
        <v>299</v>
      </c>
      <c r="Z7" s="198">
        <v>31</v>
      </c>
      <c r="AA7" s="300">
        <v>34</v>
      </c>
      <c r="AB7" s="300"/>
      <c r="AC7" s="454" t="s">
        <v>320</v>
      </c>
      <c r="AD7" s="198">
        <v>32</v>
      </c>
      <c r="AE7" s="198">
        <v>31</v>
      </c>
      <c r="AF7" s="300">
        <v>33</v>
      </c>
      <c r="AG7" s="454" t="s">
        <v>303</v>
      </c>
      <c r="AH7" s="300">
        <v>32</v>
      </c>
      <c r="AI7" s="44">
        <f t="shared" si="1"/>
        <v>18</v>
      </c>
      <c r="AJ7" s="45">
        <f>IF(AI7&lt;19,18-AI7,0)</f>
        <v>0</v>
      </c>
      <c r="AK7" s="45">
        <f>SUM(AI7:AJ7)</f>
        <v>18</v>
      </c>
      <c r="AL7" s="45">
        <f t="shared" si="4"/>
        <v>35</v>
      </c>
      <c r="AM7" s="15"/>
      <c r="AN7" s="40" t="str">
        <f>IF(AI7&gt;18,"OBS"," ")</f>
        <v> </v>
      </c>
      <c r="AO7" s="15"/>
    </row>
    <row r="8" spans="1:41" s="25" customFormat="1" ht="15.75">
      <c r="A8" s="15"/>
      <c r="B8" s="196" t="s">
        <v>39</v>
      </c>
      <c r="C8" s="197">
        <f t="shared" si="0"/>
        <v>32.388888888888886</v>
      </c>
      <c r="D8" s="198"/>
      <c r="E8" s="300"/>
      <c r="F8" s="198">
        <v>36</v>
      </c>
      <c r="G8" s="454" t="s">
        <v>324</v>
      </c>
      <c r="H8" s="300" t="s">
        <v>302</v>
      </c>
      <c r="I8" s="300">
        <v>32</v>
      </c>
      <c r="J8" s="300">
        <v>29</v>
      </c>
      <c r="K8" s="300">
        <v>36</v>
      </c>
      <c r="L8" s="198">
        <v>30</v>
      </c>
      <c r="M8" s="454" t="s">
        <v>299</v>
      </c>
      <c r="N8" s="198"/>
      <c r="O8" s="198">
        <v>33</v>
      </c>
      <c r="P8" s="454" t="s">
        <v>303</v>
      </c>
      <c r="Q8" s="198"/>
      <c r="R8" s="198"/>
      <c r="S8" s="454" t="s">
        <v>302</v>
      </c>
      <c r="T8" s="198">
        <v>33</v>
      </c>
      <c r="U8" s="445"/>
      <c r="V8" s="198">
        <v>30</v>
      </c>
      <c r="W8" s="198">
        <v>32</v>
      </c>
      <c r="X8" s="198">
        <v>29</v>
      </c>
      <c r="Y8" s="198">
        <v>35</v>
      </c>
      <c r="Z8" s="198">
        <v>32</v>
      </c>
      <c r="AA8" s="198">
        <v>32</v>
      </c>
      <c r="AB8" s="198">
        <v>30</v>
      </c>
      <c r="AC8" s="198">
        <v>34</v>
      </c>
      <c r="AD8" s="198">
        <v>30</v>
      </c>
      <c r="AE8" s="198">
        <v>35</v>
      </c>
      <c r="AF8" s="300"/>
      <c r="AG8" s="198">
        <v>35</v>
      </c>
      <c r="AH8" s="454" t="s">
        <v>299</v>
      </c>
      <c r="AI8" s="44">
        <f t="shared" si="1"/>
        <v>18</v>
      </c>
      <c r="AJ8" s="45">
        <f t="shared" si="2"/>
        <v>0</v>
      </c>
      <c r="AK8" s="45">
        <f t="shared" si="3"/>
        <v>18</v>
      </c>
      <c r="AL8" s="45">
        <f t="shared" si="4"/>
        <v>36</v>
      </c>
      <c r="AN8" s="40" t="str">
        <f t="shared" si="5"/>
        <v> </v>
      </c>
      <c r="AO8" s="15"/>
    </row>
    <row r="9" spans="2:40" ht="15.75">
      <c r="B9" s="196" t="s">
        <v>11</v>
      </c>
      <c r="C9" s="197">
        <f t="shared" si="0"/>
        <v>32.55555555555556</v>
      </c>
      <c r="D9" s="454" t="s">
        <v>296</v>
      </c>
      <c r="E9" s="198">
        <v>38</v>
      </c>
      <c r="F9" s="454" t="s">
        <v>327</v>
      </c>
      <c r="G9" s="300"/>
      <c r="H9" s="198">
        <v>35</v>
      </c>
      <c r="I9" s="198">
        <v>27</v>
      </c>
      <c r="J9" s="198"/>
      <c r="K9" s="198">
        <v>32</v>
      </c>
      <c r="L9" s="198">
        <v>34</v>
      </c>
      <c r="M9" s="198">
        <v>35</v>
      </c>
      <c r="N9" s="198">
        <v>31</v>
      </c>
      <c r="O9" s="198"/>
      <c r="P9" s="198">
        <v>29</v>
      </c>
      <c r="Q9" s="198">
        <v>34</v>
      </c>
      <c r="R9" s="198">
        <v>28</v>
      </c>
      <c r="S9" s="454" t="s">
        <v>299</v>
      </c>
      <c r="T9" s="454" t="s">
        <v>299</v>
      </c>
      <c r="U9" s="446"/>
      <c r="V9" s="198">
        <v>34</v>
      </c>
      <c r="W9" s="198">
        <v>35</v>
      </c>
      <c r="X9" s="198"/>
      <c r="Y9" s="198"/>
      <c r="Z9" s="300">
        <v>31</v>
      </c>
      <c r="AA9" s="198">
        <v>34</v>
      </c>
      <c r="AB9" s="300"/>
      <c r="AC9" s="198">
        <v>32</v>
      </c>
      <c r="AD9" s="198"/>
      <c r="AE9" s="198">
        <v>31</v>
      </c>
      <c r="AF9" s="198">
        <v>32</v>
      </c>
      <c r="AG9" s="198">
        <v>34</v>
      </c>
      <c r="AH9" s="454" t="s">
        <v>321</v>
      </c>
      <c r="AI9" s="44">
        <f t="shared" si="1"/>
        <v>18</v>
      </c>
      <c r="AJ9" s="45">
        <f t="shared" si="2"/>
        <v>0</v>
      </c>
      <c r="AK9" s="45">
        <f t="shared" si="3"/>
        <v>18</v>
      </c>
      <c r="AL9" s="45">
        <f t="shared" si="4"/>
        <v>38</v>
      </c>
      <c r="AN9" s="40" t="str">
        <f t="shared" si="5"/>
        <v> </v>
      </c>
    </row>
    <row r="10" spans="2:40" ht="15.75">
      <c r="B10" s="196" t="s">
        <v>43</v>
      </c>
      <c r="C10" s="197">
        <f t="shared" si="0"/>
        <v>32.94444444444444</v>
      </c>
      <c r="D10" s="198">
        <v>37</v>
      </c>
      <c r="E10" s="300">
        <v>34</v>
      </c>
      <c r="F10" s="198">
        <v>31</v>
      </c>
      <c r="G10" s="300">
        <v>36</v>
      </c>
      <c r="H10" s="454" t="s">
        <v>296</v>
      </c>
      <c r="I10" s="300">
        <v>32</v>
      </c>
      <c r="J10" s="300">
        <v>29</v>
      </c>
      <c r="K10" s="454" t="s">
        <v>296</v>
      </c>
      <c r="L10" s="454" t="s">
        <v>297</v>
      </c>
      <c r="M10" s="454" t="s">
        <v>299</v>
      </c>
      <c r="N10" s="198">
        <v>31</v>
      </c>
      <c r="O10" s="198">
        <v>33</v>
      </c>
      <c r="P10" s="454" t="s">
        <v>297</v>
      </c>
      <c r="Q10" s="198">
        <v>34</v>
      </c>
      <c r="R10" s="198"/>
      <c r="S10" s="198">
        <v>37</v>
      </c>
      <c r="T10" s="198">
        <v>32</v>
      </c>
      <c r="U10" s="445"/>
      <c r="V10" s="198">
        <v>34</v>
      </c>
      <c r="W10" s="454" t="s">
        <v>299</v>
      </c>
      <c r="X10" s="198">
        <v>30</v>
      </c>
      <c r="Y10" s="454" t="s">
        <v>299</v>
      </c>
      <c r="Z10" s="300">
        <v>35</v>
      </c>
      <c r="AA10" s="454" t="s">
        <v>302</v>
      </c>
      <c r="AB10" s="300">
        <v>32</v>
      </c>
      <c r="AC10" s="198">
        <v>34</v>
      </c>
      <c r="AD10" s="198">
        <v>31</v>
      </c>
      <c r="AE10" s="300">
        <v>31</v>
      </c>
      <c r="AF10" s="454" t="s">
        <v>302</v>
      </c>
      <c r="AG10" s="454" t="s">
        <v>299</v>
      </c>
      <c r="AH10" s="454" t="s">
        <v>299</v>
      </c>
      <c r="AI10" s="44">
        <f t="shared" si="1"/>
        <v>18</v>
      </c>
      <c r="AJ10" s="45">
        <f t="shared" si="2"/>
        <v>0</v>
      </c>
      <c r="AK10" s="45">
        <f t="shared" si="3"/>
        <v>18</v>
      </c>
      <c r="AL10" s="45">
        <f t="shared" si="4"/>
        <v>37</v>
      </c>
      <c r="AM10" s="25"/>
      <c r="AN10" s="40" t="str">
        <f t="shared" si="5"/>
        <v> </v>
      </c>
    </row>
    <row r="11" spans="1:40" ht="15.75">
      <c r="A11" s="25"/>
      <c r="B11" s="196" t="s">
        <v>37</v>
      </c>
      <c r="C11" s="197">
        <f t="shared" si="0"/>
        <v>33.72222222222222</v>
      </c>
      <c r="D11" s="198"/>
      <c r="E11" s="198"/>
      <c r="F11" s="198"/>
      <c r="G11" s="198"/>
      <c r="H11" s="198"/>
      <c r="I11" s="198">
        <v>35</v>
      </c>
      <c r="J11" s="198"/>
      <c r="K11" s="198">
        <v>37</v>
      </c>
      <c r="L11" s="198"/>
      <c r="M11" s="198">
        <v>36</v>
      </c>
      <c r="N11" s="198"/>
      <c r="O11" s="198">
        <v>33</v>
      </c>
      <c r="P11" s="300">
        <v>29</v>
      </c>
      <c r="Q11" s="198"/>
      <c r="R11" s="198">
        <v>33</v>
      </c>
      <c r="S11" s="198">
        <v>33</v>
      </c>
      <c r="T11" s="198">
        <v>32</v>
      </c>
      <c r="U11" s="446"/>
      <c r="V11" s="198">
        <v>31</v>
      </c>
      <c r="W11" s="198">
        <v>30</v>
      </c>
      <c r="X11" s="198">
        <v>29</v>
      </c>
      <c r="Y11" s="198">
        <v>38</v>
      </c>
      <c r="Z11" s="198">
        <v>36</v>
      </c>
      <c r="AA11" s="198">
        <v>36</v>
      </c>
      <c r="AB11" s="198">
        <v>36</v>
      </c>
      <c r="AC11" s="198"/>
      <c r="AD11" s="198"/>
      <c r="AE11" s="198"/>
      <c r="AF11" s="198">
        <v>32</v>
      </c>
      <c r="AG11" s="198">
        <v>34</v>
      </c>
      <c r="AH11" s="300"/>
      <c r="AI11" s="44">
        <f t="shared" si="1"/>
        <v>17</v>
      </c>
      <c r="AJ11" s="45">
        <f t="shared" si="2"/>
        <v>1</v>
      </c>
      <c r="AK11" s="45">
        <f t="shared" si="3"/>
        <v>18</v>
      </c>
      <c r="AL11" s="45">
        <f t="shared" si="4"/>
        <v>38</v>
      </c>
      <c r="AN11" s="40" t="str">
        <f t="shared" si="5"/>
        <v> </v>
      </c>
    </row>
    <row r="12" spans="2:40" ht="15.75">
      <c r="B12" s="196" t="s">
        <v>53</v>
      </c>
      <c r="C12" s="197">
        <f t="shared" si="0"/>
        <v>34.388888888888886</v>
      </c>
      <c r="D12" s="198"/>
      <c r="E12" s="198">
        <v>30</v>
      </c>
      <c r="F12" s="198">
        <v>33</v>
      </c>
      <c r="G12" s="198"/>
      <c r="H12" s="198"/>
      <c r="I12" s="198"/>
      <c r="J12" s="198"/>
      <c r="K12" s="198">
        <v>35</v>
      </c>
      <c r="L12" s="198"/>
      <c r="M12" s="198">
        <v>33</v>
      </c>
      <c r="N12" s="198"/>
      <c r="O12" s="198">
        <v>34</v>
      </c>
      <c r="P12" s="198"/>
      <c r="Q12" s="198"/>
      <c r="R12" s="198"/>
      <c r="S12" s="198"/>
      <c r="T12" s="198">
        <v>28</v>
      </c>
      <c r="U12" s="446"/>
      <c r="V12" s="198"/>
      <c r="W12" s="198">
        <v>32</v>
      </c>
      <c r="X12" s="198">
        <v>34</v>
      </c>
      <c r="Y12" s="198"/>
      <c r="Z12" s="198">
        <v>35</v>
      </c>
      <c r="AA12" s="198"/>
      <c r="AB12" s="198">
        <v>34</v>
      </c>
      <c r="AC12" s="198"/>
      <c r="AD12" s="198">
        <v>32</v>
      </c>
      <c r="AE12" s="198"/>
      <c r="AF12" s="198">
        <v>37</v>
      </c>
      <c r="AG12" s="198"/>
      <c r="AH12" s="198"/>
      <c r="AI12" s="44">
        <f t="shared" si="1"/>
        <v>12</v>
      </c>
      <c r="AJ12" s="45">
        <f t="shared" si="2"/>
        <v>6</v>
      </c>
      <c r="AK12" s="45">
        <f t="shared" si="3"/>
        <v>18</v>
      </c>
      <c r="AL12" s="45">
        <f t="shared" si="4"/>
        <v>37</v>
      </c>
      <c r="AN12" s="40" t="str">
        <f t="shared" si="5"/>
        <v> </v>
      </c>
    </row>
    <row r="13" spans="1:40" ht="15.75">
      <c r="A13" s="25"/>
      <c r="B13" s="196" t="s">
        <v>334</v>
      </c>
      <c r="C13" s="197">
        <f t="shared" si="0"/>
        <v>34.72222222222222</v>
      </c>
      <c r="D13" s="198">
        <v>33</v>
      </c>
      <c r="E13" s="198">
        <v>36</v>
      </c>
      <c r="F13" s="198">
        <v>37</v>
      </c>
      <c r="G13" s="198">
        <v>42</v>
      </c>
      <c r="H13" s="198">
        <v>30</v>
      </c>
      <c r="I13" s="198"/>
      <c r="J13" s="198"/>
      <c r="K13" s="198"/>
      <c r="L13" s="198"/>
      <c r="M13" s="198"/>
      <c r="N13" s="198">
        <v>28</v>
      </c>
      <c r="O13" s="198"/>
      <c r="P13" s="198"/>
      <c r="Q13" s="198"/>
      <c r="R13" s="198"/>
      <c r="S13" s="198"/>
      <c r="T13" s="198"/>
      <c r="U13" s="446"/>
      <c r="V13" s="198">
        <v>34</v>
      </c>
      <c r="W13" s="198"/>
      <c r="X13" s="198">
        <v>34</v>
      </c>
      <c r="Y13" s="198"/>
      <c r="Z13" s="198"/>
      <c r="AA13" s="198"/>
      <c r="AB13" s="198"/>
      <c r="AC13" s="198">
        <v>28</v>
      </c>
      <c r="AD13" s="198">
        <v>27</v>
      </c>
      <c r="AE13" s="198"/>
      <c r="AF13" s="198"/>
      <c r="AG13" s="198">
        <v>39</v>
      </c>
      <c r="AH13" s="198">
        <v>35</v>
      </c>
      <c r="AI13" s="44">
        <f t="shared" si="1"/>
        <v>12</v>
      </c>
      <c r="AJ13" s="45">
        <f t="shared" si="2"/>
        <v>6</v>
      </c>
      <c r="AK13" s="45">
        <f t="shared" si="3"/>
        <v>18</v>
      </c>
      <c r="AL13" s="45">
        <f t="shared" si="4"/>
        <v>42</v>
      </c>
      <c r="AN13" s="40" t="str">
        <f t="shared" si="5"/>
        <v> </v>
      </c>
    </row>
    <row r="14" spans="1:40" ht="15.75">
      <c r="A14" s="25"/>
      <c r="B14" s="196" t="s">
        <v>13</v>
      </c>
      <c r="C14" s="197">
        <f t="shared" si="0"/>
        <v>34.72222222222222</v>
      </c>
      <c r="D14" s="198">
        <v>32</v>
      </c>
      <c r="E14" s="198">
        <v>34</v>
      </c>
      <c r="F14" s="198">
        <v>32</v>
      </c>
      <c r="G14" s="198">
        <v>38</v>
      </c>
      <c r="H14" s="198"/>
      <c r="I14" s="198">
        <v>31</v>
      </c>
      <c r="J14" s="198"/>
      <c r="K14" s="198">
        <v>35</v>
      </c>
      <c r="L14" s="198">
        <v>38</v>
      </c>
      <c r="M14" s="198">
        <v>36</v>
      </c>
      <c r="N14" s="198">
        <v>37</v>
      </c>
      <c r="O14" s="198">
        <v>34</v>
      </c>
      <c r="P14" s="198">
        <v>31</v>
      </c>
      <c r="Q14" s="198"/>
      <c r="R14" s="198"/>
      <c r="S14" s="198"/>
      <c r="T14" s="198"/>
      <c r="U14" s="446"/>
      <c r="V14" s="198"/>
      <c r="W14" s="198">
        <v>37</v>
      </c>
      <c r="X14" s="198">
        <v>36</v>
      </c>
      <c r="Y14" s="198">
        <v>32</v>
      </c>
      <c r="Z14" s="198">
        <v>33</v>
      </c>
      <c r="AA14" s="198">
        <v>38</v>
      </c>
      <c r="AB14" s="198">
        <v>35</v>
      </c>
      <c r="AC14" s="198">
        <v>36</v>
      </c>
      <c r="AD14" s="454" t="s">
        <v>299</v>
      </c>
      <c r="AE14" s="198"/>
      <c r="AF14" s="198"/>
      <c r="AG14" s="454" t="s">
        <v>327</v>
      </c>
      <c r="AH14" s="198"/>
      <c r="AI14" s="44">
        <f t="shared" si="1"/>
        <v>18</v>
      </c>
      <c r="AJ14" s="45">
        <f t="shared" si="2"/>
        <v>0</v>
      </c>
      <c r="AK14" s="45">
        <f t="shared" si="3"/>
        <v>18</v>
      </c>
      <c r="AL14" s="45">
        <f t="shared" si="4"/>
        <v>38</v>
      </c>
      <c r="AN14" s="40" t="str">
        <f t="shared" si="5"/>
        <v> </v>
      </c>
    </row>
    <row r="15" spans="1:41" s="25" customFormat="1" ht="15.75">
      <c r="A15" s="15"/>
      <c r="B15" s="196" t="s">
        <v>23</v>
      </c>
      <c r="C15" s="197">
        <f t="shared" si="0"/>
        <v>34.77777777777778</v>
      </c>
      <c r="D15" s="198">
        <v>36</v>
      </c>
      <c r="E15" s="198"/>
      <c r="F15" s="198"/>
      <c r="G15" s="198"/>
      <c r="H15" s="198">
        <v>35</v>
      </c>
      <c r="I15" s="198"/>
      <c r="J15" s="198">
        <v>33</v>
      </c>
      <c r="K15" s="198">
        <v>36</v>
      </c>
      <c r="L15" s="198"/>
      <c r="M15" s="198">
        <v>34</v>
      </c>
      <c r="N15" s="198">
        <v>33</v>
      </c>
      <c r="O15" s="198">
        <v>35</v>
      </c>
      <c r="P15" s="198"/>
      <c r="Q15" s="198"/>
      <c r="R15" s="198"/>
      <c r="S15" s="198"/>
      <c r="T15" s="198">
        <v>33</v>
      </c>
      <c r="U15" s="446"/>
      <c r="V15" s="198">
        <v>31</v>
      </c>
      <c r="W15" s="198">
        <v>41</v>
      </c>
      <c r="X15" s="198"/>
      <c r="Y15" s="198">
        <v>35</v>
      </c>
      <c r="Z15" s="198">
        <v>32</v>
      </c>
      <c r="AA15" s="198">
        <v>28</v>
      </c>
      <c r="AB15" s="198"/>
      <c r="AC15" s="198">
        <v>39</v>
      </c>
      <c r="AD15" s="198">
        <v>34</v>
      </c>
      <c r="AE15" s="198"/>
      <c r="AF15" s="198"/>
      <c r="AG15" s="198"/>
      <c r="AH15" s="198"/>
      <c r="AI15" s="44">
        <f t="shared" si="1"/>
        <v>15</v>
      </c>
      <c r="AJ15" s="45">
        <f t="shared" si="2"/>
        <v>3</v>
      </c>
      <c r="AK15" s="45">
        <f t="shared" si="3"/>
        <v>18</v>
      </c>
      <c r="AL15" s="45">
        <f t="shared" si="4"/>
        <v>41</v>
      </c>
      <c r="AM15" s="24"/>
      <c r="AN15" s="40" t="str">
        <f t="shared" si="5"/>
        <v> </v>
      </c>
      <c r="AO15" s="15"/>
    </row>
    <row r="16" spans="2:40" ht="15.75">
      <c r="B16" s="196" t="s">
        <v>45</v>
      </c>
      <c r="C16" s="197">
        <f t="shared" si="0"/>
        <v>35.27777777777778</v>
      </c>
      <c r="D16" s="198"/>
      <c r="E16" s="198"/>
      <c r="F16" s="198">
        <v>32</v>
      </c>
      <c r="G16" s="198"/>
      <c r="H16" s="198">
        <v>33</v>
      </c>
      <c r="I16" s="198">
        <v>30</v>
      </c>
      <c r="J16" s="198"/>
      <c r="K16" s="198">
        <v>38</v>
      </c>
      <c r="L16" s="198">
        <v>36</v>
      </c>
      <c r="M16" s="198">
        <v>35</v>
      </c>
      <c r="N16" s="198"/>
      <c r="O16" s="198"/>
      <c r="P16" s="198"/>
      <c r="Q16" s="198"/>
      <c r="R16" s="198"/>
      <c r="S16" s="198">
        <v>37</v>
      </c>
      <c r="T16" s="198">
        <v>39</v>
      </c>
      <c r="U16" s="445"/>
      <c r="V16" s="198"/>
      <c r="W16" s="198"/>
      <c r="X16" s="198">
        <v>36</v>
      </c>
      <c r="Y16" s="198">
        <v>43</v>
      </c>
      <c r="Z16" s="300">
        <v>36</v>
      </c>
      <c r="AA16" s="198"/>
      <c r="AB16" s="198"/>
      <c r="AC16" s="198">
        <v>33</v>
      </c>
      <c r="AD16" s="300">
        <v>26</v>
      </c>
      <c r="AE16" s="198">
        <v>33</v>
      </c>
      <c r="AF16" s="198"/>
      <c r="AG16" s="198"/>
      <c r="AH16" s="198"/>
      <c r="AI16" s="44">
        <f t="shared" si="1"/>
        <v>14</v>
      </c>
      <c r="AJ16" s="45">
        <f t="shared" si="2"/>
        <v>4</v>
      </c>
      <c r="AK16" s="45">
        <f t="shared" si="3"/>
        <v>18</v>
      </c>
      <c r="AL16" s="45">
        <f t="shared" si="4"/>
        <v>43</v>
      </c>
      <c r="AN16" s="40" t="str">
        <f t="shared" si="5"/>
        <v> </v>
      </c>
    </row>
    <row r="17" spans="2:40" ht="15.75">
      <c r="B17" s="196" t="s">
        <v>41</v>
      </c>
      <c r="C17" s="197">
        <f t="shared" si="0"/>
        <v>35.388888888888886</v>
      </c>
      <c r="D17" s="198">
        <v>39</v>
      </c>
      <c r="E17" s="454" t="s">
        <v>328</v>
      </c>
      <c r="F17" s="198"/>
      <c r="G17" s="198">
        <v>42</v>
      </c>
      <c r="H17" s="198">
        <v>33</v>
      </c>
      <c r="I17" s="198">
        <v>35</v>
      </c>
      <c r="J17" s="198"/>
      <c r="K17" s="454" t="s">
        <v>328</v>
      </c>
      <c r="L17" s="198">
        <v>34</v>
      </c>
      <c r="M17" s="198">
        <v>36</v>
      </c>
      <c r="N17" s="198">
        <v>30</v>
      </c>
      <c r="O17" s="198">
        <v>32</v>
      </c>
      <c r="P17" s="198">
        <v>41</v>
      </c>
      <c r="Q17" s="198">
        <v>41</v>
      </c>
      <c r="R17" s="198"/>
      <c r="S17" s="198"/>
      <c r="T17" s="198"/>
      <c r="U17" s="446"/>
      <c r="V17" s="198">
        <v>29</v>
      </c>
      <c r="W17" s="198">
        <v>38</v>
      </c>
      <c r="X17" s="198">
        <v>38</v>
      </c>
      <c r="Y17" s="198">
        <v>37</v>
      </c>
      <c r="Z17" s="454" t="s">
        <v>321</v>
      </c>
      <c r="AA17" s="198">
        <v>33</v>
      </c>
      <c r="AB17" s="198"/>
      <c r="AC17" s="198"/>
      <c r="AD17" s="198">
        <v>33</v>
      </c>
      <c r="AE17" s="198"/>
      <c r="AF17" s="198">
        <v>34</v>
      </c>
      <c r="AG17" s="198">
        <v>32</v>
      </c>
      <c r="AH17" s="198"/>
      <c r="AI17" s="44">
        <f t="shared" si="1"/>
        <v>18</v>
      </c>
      <c r="AJ17" s="45">
        <f t="shared" si="2"/>
        <v>0</v>
      </c>
      <c r="AK17" s="45">
        <f t="shared" si="3"/>
        <v>18</v>
      </c>
      <c r="AL17" s="45">
        <f t="shared" si="4"/>
        <v>42</v>
      </c>
      <c r="AN17" s="40" t="str">
        <f t="shared" si="5"/>
        <v> </v>
      </c>
    </row>
    <row r="18" spans="2:40" ht="15.75">
      <c r="B18" s="196" t="s">
        <v>17</v>
      </c>
      <c r="C18" s="197">
        <f t="shared" si="0"/>
        <v>35.72222222222222</v>
      </c>
      <c r="D18" s="198">
        <v>41</v>
      </c>
      <c r="E18" s="198">
        <v>36</v>
      </c>
      <c r="F18" s="198"/>
      <c r="G18" s="198">
        <v>32</v>
      </c>
      <c r="H18" s="198">
        <v>36</v>
      </c>
      <c r="I18" s="198">
        <v>44</v>
      </c>
      <c r="J18" s="198">
        <v>33</v>
      </c>
      <c r="K18" s="198">
        <v>37</v>
      </c>
      <c r="L18" s="454" t="s">
        <v>328</v>
      </c>
      <c r="M18" s="454" t="s">
        <v>324</v>
      </c>
      <c r="N18" s="198">
        <v>31</v>
      </c>
      <c r="O18" s="198">
        <v>34</v>
      </c>
      <c r="P18" s="198">
        <v>36</v>
      </c>
      <c r="Q18" s="198"/>
      <c r="R18" s="198"/>
      <c r="S18" s="198"/>
      <c r="T18" s="198"/>
      <c r="U18" s="446"/>
      <c r="V18" s="300">
        <v>36</v>
      </c>
      <c r="W18" s="454" t="s">
        <v>328</v>
      </c>
      <c r="X18" s="198"/>
      <c r="Y18" s="454" t="s">
        <v>329</v>
      </c>
      <c r="Z18" s="198">
        <v>37</v>
      </c>
      <c r="AA18" s="198">
        <v>37</v>
      </c>
      <c r="AB18" s="300">
        <v>32</v>
      </c>
      <c r="AC18" s="198">
        <v>33</v>
      </c>
      <c r="AD18" s="198"/>
      <c r="AE18" s="198">
        <v>35</v>
      </c>
      <c r="AF18" s="198">
        <v>37</v>
      </c>
      <c r="AG18" s="198"/>
      <c r="AH18" s="300">
        <v>36</v>
      </c>
      <c r="AI18" s="44">
        <f t="shared" si="1"/>
        <v>18</v>
      </c>
      <c r="AJ18" s="45">
        <f t="shared" si="2"/>
        <v>0</v>
      </c>
      <c r="AK18" s="45">
        <f t="shared" si="3"/>
        <v>18</v>
      </c>
      <c r="AL18" s="45">
        <f t="shared" si="4"/>
        <v>44</v>
      </c>
      <c r="AN18" s="40" t="str">
        <f t="shared" si="5"/>
        <v> </v>
      </c>
    </row>
    <row r="19" spans="2:40" ht="15.75">
      <c r="B19" s="196" t="s">
        <v>47</v>
      </c>
      <c r="C19" s="197">
        <f t="shared" si="0"/>
        <v>35.833333333333336</v>
      </c>
      <c r="D19" s="198"/>
      <c r="E19" s="198">
        <v>42</v>
      </c>
      <c r="F19" s="198">
        <v>39</v>
      </c>
      <c r="G19" s="198"/>
      <c r="H19" s="198">
        <v>37</v>
      </c>
      <c r="I19" s="300">
        <v>40</v>
      </c>
      <c r="J19" s="198">
        <v>35</v>
      </c>
      <c r="K19" s="198"/>
      <c r="L19" s="300">
        <v>35</v>
      </c>
      <c r="M19" s="198">
        <v>37</v>
      </c>
      <c r="N19" s="198">
        <v>32</v>
      </c>
      <c r="O19" s="198">
        <v>28</v>
      </c>
      <c r="P19" s="198"/>
      <c r="Q19" s="198">
        <v>33</v>
      </c>
      <c r="R19" s="198"/>
      <c r="S19" s="198"/>
      <c r="T19" s="198"/>
      <c r="U19" s="446"/>
      <c r="V19" s="300">
        <v>28</v>
      </c>
      <c r="W19" s="198"/>
      <c r="X19" s="198">
        <v>31</v>
      </c>
      <c r="Y19" s="198">
        <v>37</v>
      </c>
      <c r="Z19" s="198">
        <v>39</v>
      </c>
      <c r="AA19" s="198">
        <v>37</v>
      </c>
      <c r="AB19" s="198"/>
      <c r="AC19" s="198"/>
      <c r="AD19" s="198"/>
      <c r="AE19" s="198">
        <v>37</v>
      </c>
      <c r="AF19" s="198"/>
      <c r="AG19" s="198"/>
      <c r="AH19" s="198">
        <v>41</v>
      </c>
      <c r="AI19" s="44">
        <f t="shared" si="1"/>
        <v>17</v>
      </c>
      <c r="AJ19" s="45">
        <f t="shared" si="2"/>
        <v>1</v>
      </c>
      <c r="AK19" s="45">
        <f t="shared" si="3"/>
        <v>18</v>
      </c>
      <c r="AL19" s="45">
        <f t="shared" si="4"/>
        <v>42</v>
      </c>
      <c r="AN19" s="40" t="str">
        <f t="shared" si="5"/>
        <v> </v>
      </c>
    </row>
    <row r="20" spans="2:40" ht="15.75">
      <c r="B20" s="196" t="s">
        <v>33</v>
      </c>
      <c r="C20" s="197">
        <f t="shared" si="0"/>
        <v>35.833333333333336</v>
      </c>
      <c r="D20" s="198">
        <v>36</v>
      </c>
      <c r="E20" s="198">
        <v>36</v>
      </c>
      <c r="F20" s="198">
        <v>35</v>
      </c>
      <c r="G20" s="198"/>
      <c r="H20" s="198">
        <v>35</v>
      </c>
      <c r="I20" s="198"/>
      <c r="J20" s="198">
        <v>36</v>
      </c>
      <c r="K20" s="198">
        <v>38</v>
      </c>
      <c r="L20" s="198"/>
      <c r="M20" s="198"/>
      <c r="N20" s="198">
        <v>32</v>
      </c>
      <c r="O20" s="198">
        <v>31</v>
      </c>
      <c r="P20" s="198"/>
      <c r="Q20" s="198"/>
      <c r="R20" s="198"/>
      <c r="S20" s="198"/>
      <c r="T20" s="198"/>
      <c r="U20" s="446"/>
      <c r="V20" s="198"/>
      <c r="W20" s="198"/>
      <c r="X20" s="198"/>
      <c r="Y20" s="198"/>
      <c r="Z20" s="198">
        <v>36</v>
      </c>
      <c r="AA20" s="198">
        <v>33</v>
      </c>
      <c r="AB20" s="198">
        <v>37</v>
      </c>
      <c r="AC20" s="198"/>
      <c r="AD20" s="198">
        <v>39</v>
      </c>
      <c r="AE20" s="198">
        <v>38</v>
      </c>
      <c r="AF20" s="198">
        <v>35</v>
      </c>
      <c r="AG20" s="198"/>
      <c r="AH20" s="198"/>
      <c r="AI20" s="44">
        <f t="shared" si="1"/>
        <v>14</v>
      </c>
      <c r="AJ20" s="45">
        <f t="shared" si="2"/>
        <v>4</v>
      </c>
      <c r="AK20" s="45">
        <f t="shared" si="3"/>
        <v>18</v>
      </c>
      <c r="AL20" s="45">
        <f t="shared" si="4"/>
        <v>39</v>
      </c>
      <c r="AN20" s="40" t="str">
        <f t="shared" si="5"/>
        <v> </v>
      </c>
    </row>
    <row r="21" spans="2:40" ht="15.75">
      <c r="B21" s="196" t="s">
        <v>25</v>
      </c>
      <c r="C21" s="197">
        <f t="shared" si="0"/>
        <v>36.111111111111114</v>
      </c>
      <c r="D21" s="198"/>
      <c r="E21" s="198"/>
      <c r="F21" s="198">
        <v>36</v>
      </c>
      <c r="G21" s="198"/>
      <c r="H21" s="198"/>
      <c r="I21" s="198"/>
      <c r="J21" s="198"/>
      <c r="K21" s="198"/>
      <c r="L21" s="198"/>
      <c r="M21" s="198">
        <v>32</v>
      </c>
      <c r="N21" s="198"/>
      <c r="O21" s="198">
        <v>31</v>
      </c>
      <c r="P21" s="198"/>
      <c r="Q21" s="198"/>
      <c r="R21" s="198"/>
      <c r="S21" s="198">
        <v>36</v>
      </c>
      <c r="T21" s="198"/>
      <c r="U21" s="446"/>
      <c r="V21" s="198"/>
      <c r="W21" s="198"/>
      <c r="X21" s="198"/>
      <c r="Y21" s="198"/>
      <c r="Z21" s="198"/>
      <c r="AA21" s="198">
        <v>35</v>
      </c>
      <c r="AB21" s="198"/>
      <c r="AC21" s="198">
        <v>33</v>
      </c>
      <c r="AD21" s="198">
        <v>33</v>
      </c>
      <c r="AE21" s="198"/>
      <c r="AF21" s="198"/>
      <c r="AG21" s="198">
        <v>44</v>
      </c>
      <c r="AH21" s="198"/>
      <c r="AI21" s="44">
        <f t="shared" si="1"/>
        <v>8</v>
      </c>
      <c r="AJ21" s="45">
        <f t="shared" si="2"/>
        <v>10</v>
      </c>
      <c r="AK21" s="45">
        <f t="shared" si="3"/>
        <v>18</v>
      </c>
      <c r="AL21" s="45">
        <f t="shared" si="4"/>
        <v>44</v>
      </c>
      <c r="AN21" s="40" t="str">
        <f t="shared" si="5"/>
        <v> </v>
      </c>
    </row>
    <row r="22" spans="2:40" ht="15.75">
      <c r="B22" s="196" t="s">
        <v>21</v>
      </c>
      <c r="C22" s="197">
        <f t="shared" si="0"/>
        <v>36.111111111111114</v>
      </c>
      <c r="D22" s="198">
        <v>30</v>
      </c>
      <c r="E22" s="198"/>
      <c r="F22" s="198"/>
      <c r="G22" s="300"/>
      <c r="H22" s="198"/>
      <c r="I22" s="198"/>
      <c r="J22" s="198"/>
      <c r="K22" s="198">
        <v>43</v>
      </c>
      <c r="L22" s="198">
        <v>41</v>
      </c>
      <c r="M22" s="198">
        <v>31</v>
      </c>
      <c r="N22" s="198">
        <v>34</v>
      </c>
      <c r="O22" s="300">
        <v>29</v>
      </c>
      <c r="P22" s="198"/>
      <c r="Q22" s="198"/>
      <c r="R22" s="198"/>
      <c r="S22" s="198"/>
      <c r="T22" s="198">
        <v>37</v>
      </c>
      <c r="U22" s="445"/>
      <c r="V22" s="300">
        <v>30</v>
      </c>
      <c r="W22" s="198"/>
      <c r="X22" s="198"/>
      <c r="Y22" s="198">
        <v>42</v>
      </c>
      <c r="Z22" s="300"/>
      <c r="AA22" s="198"/>
      <c r="AB22" s="198">
        <v>39</v>
      </c>
      <c r="AC22" s="198"/>
      <c r="AD22" s="300"/>
      <c r="AE22" s="198"/>
      <c r="AF22" s="300"/>
      <c r="AG22" s="198">
        <v>33</v>
      </c>
      <c r="AH22" s="300">
        <v>39</v>
      </c>
      <c r="AI22" s="44">
        <f t="shared" si="1"/>
        <v>12</v>
      </c>
      <c r="AJ22" s="45">
        <f t="shared" si="2"/>
        <v>6</v>
      </c>
      <c r="AK22" s="45">
        <f t="shared" si="3"/>
        <v>18</v>
      </c>
      <c r="AL22" s="45">
        <f t="shared" si="4"/>
        <v>43</v>
      </c>
      <c r="AN22" s="40" t="str">
        <f t="shared" si="5"/>
        <v> </v>
      </c>
    </row>
    <row r="23" spans="2:40" ht="15.75">
      <c r="B23" s="196" t="s">
        <v>15</v>
      </c>
      <c r="C23" s="197">
        <f t="shared" si="0"/>
        <v>36.333333333333336</v>
      </c>
      <c r="D23" s="198">
        <v>38</v>
      </c>
      <c r="E23" s="198"/>
      <c r="F23" s="198">
        <v>41</v>
      </c>
      <c r="G23" s="198"/>
      <c r="H23" s="198"/>
      <c r="I23" s="198">
        <v>42</v>
      </c>
      <c r="J23" s="198"/>
      <c r="K23" s="198"/>
      <c r="L23" s="198"/>
      <c r="M23" s="198"/>
      <c r="N23" s="198"/>
      <c r="O23" s="198">
        <v>25</v>
      </c>
      <c r="P23" s="198"/>
      <c r="Q23" s="198"/>
      <c r="R23" s="198"/>
      <c r="S23" s="198"/>
      <c r="T23" s="198">
        <v>38</v>
      </c>
      <c r="U23" s="446"/>
      <c r="V23" s="198"/>
      <c r="W23" s="198"/>
      <c r="X23" s="198"/>
      <c r="Y23" s="198">
        <v>29</v>
      </c>
      <c r="Z23" s="198"/>
      <c r="AA23" s="198"/>
      <c r="AB23" s="198"/>
      <c r="AC23" s="198">
        <v>30</v>
      </c>
      <c r="AD23" s="198"/>
      <c r="AE23" s="198">
        <v>42</v>
      </c>
      <c r="AF23" s="198">
        <v>36</v>
      </c>
      <c r="AG23" s="198"/>
      <c r="AH23" s="198"/>
      <c r="AI23" s="44">
        <f t="shared" si="1"/>
        <v>9</v>
      </c>
      <c r="AJ23" s="45">
        <f t="shared" si="2"/>
        <v>9</v>
      </c>
      <c r="AK23" s="45">
        <f t="shared" si="3"/>
        <v>18</v>
      </c>
      <c r="AL23" s="45">
        <f t="shared" si="4"/>
        <v>42</v>
      </c>
      <c r="AN23" s="40" t="str">
        <f t="shared" si="5"/>
        <v> </v>
      </c>
    </row>
    <row r="24" spans="2:40" ht="15.75">
      <c r="B24" s="196" t="s">
        <v>27</v>
      </c>
      <c r="C24" s="197">
        <f t="shared" si="0"/>
        <v>37</v>
      </c>
      <c r="D24" s="198">
        <v>36</v>
      </c>
      <c r="E24" s="198"/>
      <c r="F24" s="198"/>
      <c r="G24" s="198"/>
      <c r="H24" s="198">
        <v>40</v>
      </c>
      <c r="I24" s="198">
        <v>34</v>
      </c>
      <c r="J24" s="198">
        <v>34</v>
      </c>
      <c r="K24" s="198">
        <v>40</v>
      </c>
      <c r="L24" s="198">
        <v>41</v>
      </c>
      <c r="M24" s="198">
        <v>36</v>
      </c>
      <c r="N24" s="198">
        <v>38</v>
      </c>
      <c r="O24" s="198">
        <v>39</v>
      </c>
      <c r="P24" s="198"/>
      <c r="Q24" s="198"/>
      <c r="R24" s="198"/>
      <c r="S24" s="198">
        <v>38</v>
      </c>
      <c r="T24" s="198">
        <v>36</v>
      </c>
      <c r="U24" s="446"/>
      <c r="V24" s="198">
        <v>39</v>
      </c>
      <c r="W24" s="198">
        <v>38</v>
      </c>
      <c r="X24" s="198">
        <v>37</v>
      </c>
      <c r="Y24" s="198"/>
      <c r="Z24" s="198"/>
      <c r="AA24" s="198">
        <v>35</v>
      </c>
      <c r="AB24" s="198">
        <v>32</v>
      </c>
      <c r="AC24" s="198"/>
      <c r="AD24" s="198"/>
      <c r="AE24" s="198"/>
      <c r="AF24" s="198"/>
      <c r="AG24" s="198">
        <v>36</v>
      </c>
      <c r="AH24" s="198"/>
      <c r="AI24" s="44">
        <f t="shared" si="1"/>
        <v>17</v>
      </c>
      <c r="AJ24" s="45">
        <f t="shared" si="2"/>
        <v>1</v>
      </c>
      <c r="AK24" s="45">
        <f t="shared" si="3"/>
        <v>18</v>
      </c>
      <c r="AL24" s="45">
        <f t="shared" si="4"/>
        <v>41</v>
      </c>
      <c r="AN24" s="40" t="str">
        <f t="shared" si="5"/>
        <v> </v>
      </c>
    </row>
    <row r="25" spans="2:40" ht="15.75">
      <c r="B25" s="196" t="s">
        <v>9</v>
      </c>
      <c r="C25" s="197">
        <f t="shared" si="0"/>
        <v>37.22222222222222</v>
      </c>
      <c r="D25" s="198">
        <v>35</v>
      </c>
      <c r="E25" s="198">
        <v>36</v>
      </c>
      <c r="F25" s="198"/>
      <c r="G25" s="198"/>
      <c r="H25" s="198">
        <v>46</v>
      </c>
      <c r="I25" s="198">
        <v>40</v>
      </c>
      <c r="J25" s="198">
        <v>38</v>
      </c>
      <c r="K25" s="198"/>
      <c r="L25" s="198"/>
      <c r="M25" s="198">
        <v>34</v>
      </c>
      <c r="N25" s="198">
        <v>33</v>
      </c>
      <c r="O25" s="198">
        <v>32</v>
      </c>
      <c r="P25" s="198">
        <v>39</v>
      </c>
      <c r="Q25" s="198">
        <v>30</v>
      </c>
      <c r="R25" s="198">
        <v>40</v>
      </c>
      <c r="S25" s="198"/>
      <c r="T25" s="198"/>
      <c r="U25" s="446"/>
      <c r="V25" s="198">
        <v>39</v>
      </c>
      <c r="W25" s="198">
        <v>37</v>
      </c>
      <c r="X25" s="198"/>
      <c r="Y25" s="198"/>
      <c r="Z25" s="198"/>
      <c r="AA25" s="198">
        <v>37</v>
      </c>
      <c r="AB25" s="198"/>
      <c r="AC25" s="198">
        <v>39</v>
      </c>
      <c r="AD25" s="198"/>
      <c r="AE25" s="198">
        <v>35</v>
      </c>
      <c r="AF25" s="198"/>
      <c r="AG25" s="198">
        <v>38</v>
      </c>
      <c r="AH25" s="198">
        <v>42</v>
      </c>
      <c r="AI25" s="44">
        <f t="shared" si="1"/>
        <v>18</v>
      </c>
      <c r="AJ25" s="45">
        <f t="shared" si="2"/>
        <v>0</v>
      </c>
      <c r="AK25" s="45">
        <f t="shared" si="3"/>
        <v>18</v>
      </c>
      <c r="AL25" s="45">
        <f t="shared" si="4"/>
        <v>46</v>
      </c>
      <c r="AN25" s="40" t="str">
        <f t="shared" si="5"/>
        <v> </v>
      </c>
    </row>
    <row r="26" spans="2:40" ht="15.75">
      <c r="B26" s="199" t="s">
        <v>51</v>
      </c>
      <c r="C26" s="200">
        <f t="shared" si="0"/>
        <v>37.666666666666664</v>
      </c>
      <c r="D26" s="201"/>
      <c r="E26" s="201"/>
      <c r="F26" s="201"/>
      <c r="G26" s="201"/>
      <c r="H26" s="201"/>
      <c r="I26" s="201">
        <v>44</v>
      </c>
      <c r="J26" s="339"/>
      <c r="K26" s="339"/>
      <c r="L26" s="201">
        <v>39</v>
      </c>
      <c r="M26" s="198"/>
      <c r="N26" s="201">
        <v>32</v>
      </c>
      <c r="O26" s="201">
        <v>32</v>
      </c>
      <c r="P26" s="201"/>
      <c r="Q26" s="201">
        <v>34</v>
      </c>
      <c r="R26" s="201">
        <v>35</v>
      </c>
      <c r="S26" s="201"/>
      <c r="T26" s="201">
        <v>39</v>
      </c>
      <c r="U26" s="447"/>
      <c r="V26" s="201">
        <v>41</v>
      </c>
      <c r="W26" s="201">
        <v>35</v>
      </c>
      <c r="X26" s="198"/>
      <c r="Y26" s="198"/>
      <c r="Z26" s="201">
        <v>36</v>
      </c>
      <c r="AA26" s="201">
        <v>35</v>
      </c>
      <c r="AB26" s="201"/>
      <c r="AC26" s="201"/>
      <c r="AD26" s="201"/>
      <c r="AE26" s="201"/>
      <c r="AF26" s="201">
        <v>45</v>
      </c>
      <c r="AG26" s="201">
        <v>41</v>
      </c>
      <c r="AH26" s="339">
        <v>42</v>
      </c>
      <c r="AI26" s="44">
        <f t="shared" si="1"/>
        <v>14</v>
      </c>
      <c r="AJ26" s="45">
        <f t="shared" si="2"/>
        <v>4</v>
      </c>
      <c r="AK26" s="45">
        <f t="shared" si="3"/>
        <v>18</v>
      </c>
      <c r="AL26" s="45">
        <f t="shared" si="4"/>
        <v>45</v>
      </c>
      <c r="AN26" s="40" t="str">
        <f t="shared" si="5"/>
        <v> </v>
      </c>
    </row>
    <row r="27" spans="4:40" ht="15.75">
      <c r="D27" s="46">
        <f aca="true" t="shared" si="6" ref="D27:AH27">SUM(D3:D26)</f>
        <v>549</v>
      </c>
      <c r="E27" s="46">
        <f t="shared" si="6"/>
        <v>352</v>
      </c>
      <c r="F27" s="46">
        <f t="shared" si="6"/>
        <v>415</v>
      </c>
      <c r="G27" s="46">
        <f t="shared" si="6"/>
        <v>286</v>
      </c>
      <c r="H27" s="46">
        <f t="shared" si="6"/>
        <v>425</v>
      </c>
      <c r="I27" s="46">
        <f t="shared" si="6"/>
        <v>622</v>
      </c>
      <c r="J27" s="46">
        <f t="shared" si="6"/>
        <v>361</v>
      </c>
      <c r="K27" s="46">
        <f t="shared" si="6"/>
        <v>561</v>
      </c>
      <c r="L27" s="46">
        <f t="shared" si="6"/>
        <v>453</v>
      </c>
      <c r="M27" s="46">
        <f t="shared" si="6"/>
        <v>446</v>
      </c>
      <c r="N27" s="46">
        <f t="shared" si="6"/>
        <v>541</v>
      </c>
      <c r="O27" s="46">
        <f t="shared" si="6"/>
        <v>640</v>
      </c>
      <c r="P27" s="46">
        <f t="shared" si="6"/>
        <v>329</v>
      </c>
      <c r="Q27" s="46">
        <f t="shared" si="6"/>
        <v>231</v>
      </c>
      <c r="R27" s="46">
        <f t="shared" si="6"/>
        <v>224</v>
      </c>
      <c r="S27" s="46">
        <f t="shared" si="6"/>
        <v>242</v>
      </c>
      <c r="T27" s="46">
        <f t="shared" si="6"/>
        <v>347</v>
      </c>
      <c r="U27" s="46">
        <f t="shared" si="6"/>
        <v>0</v>
      </c>
      <c r="V27" s="46">
        <f t="shared" si="6"/>
        <v>593</v>
      </c>
      <c r="W27" s="46">
        <f t="shared" si="6"/>
        <v>422</v>
      </c>
      <c r="X27" s="46">
        <f t="shared" si="6"/>
        <v>486</v>
      </c>
      <c r="Y27" s="46">
        <f t="shared" si="6"/>
        <v>423</v>
      </c>
      <c r="Z27" s="46">
        <f t="shared" si="6"/>
        <v>548</v>
      </c>
      <c r="AA27" s="46">
        <f t="shared" si="6"/>
        <v>616</v>
      </c>
      <c r="AB27" s="46">
        <f t="shared" si="6"/>
        <v>401</v>
      </c>
      <c r="AC27" s="46">
        <f t="shared" si="6"/>
        <v>498</v>
      </c>
      <c r="AD27" s="46">
        <f t="shared" si="6"/>
        <v>349</v>
      </c>
      <c r="AE27" s="46">
        <f t="shared" si="6"/>
        <v>379</v>
      </c>
      <c r="AF27" s="46">
        <f t="shared" si="6"/>
        <v>387</v>
      </c>
      <c r="AG27" s="46">
        <f t="shared" si="6"/>
        <v>366</v>
      </c>
      <c r="AH27" s="46">
        <f t="shared" si="6"/>
        <v>333</v>
      </c>
      <c r="AI27" s="15"/>
      <c r="AN27" s="40"/>
    </row>
    <row r="28" spans="2:40" ht="15.75">
      <c r="B28" s="243" t="s">
        <v>67</v>
      </c>
      <c r="C28" s="50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3"/>
      <c r="AJ28" s="243"/>
      <c r="AK28" s="243"/>
      <c r="AL28" s="243"/>
      <c r="AN28" s="40"/>
    </row>
    <row r="29" spans="2:40" ht="15.75">
      <c r="B29" s="243" t="s">
        <v>68</v>
      </c>
      <c r="C29" s="243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3"/>
      <c r="AJ29" s="243"/>
      <c r="AK29" s="243"/>
      <c r="AL29" s="243"/>
      <c r="AN29" s="40"/>
    </row>
    <row r="30" spans="3:40" ht="12.75" customHeight="1">
      <c r="C30" s="47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17"/>
      <c r="Q30" s="17"/>
      <c r="R30" s="17"/>
      <c r="S30" s="17"/>
      <c r="AG30" s="17"/>
      <c r="AH30" s="17"/>
      <c r="AI30" s="47"/>
      <c r="AJ30" s="47"/>
      <c r="AK30" s="47"/>
      <c r="AL30" s="47"/>
      <c r="AN30" s="40"/>
    </row>
    <row r="31" spans="2:40" ht="15.75">
      <c r="B31" s="48" t="s">
        <v>69</v>
      </c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17"/>
      <c r="Q31" s="17"/>
      <c r="R31" s="17"/>
      <c r="S31" s="17"/>
      <c r="AG31" s="17"/>
      <c r="AH31" s="17"/>
      <c r="AI31" s="47"/>
      <c r="AJ31" s="47"/>
      <c r="AK31" s="47"/>
      <c r="AL31" s="47"/>
      <c r="AN31" s="40"/>
    </row>
  </sheetData>
  <sheetProtection selectLockedCells="1" selectUnlockedCells="1"/>
  <autoFilter ref="B2:AH2">
    <sortState ref="B3:AH31">
      <sortCondition sortBy="value" ref="C3:C31"/>
    </sortState>
  </autoFilter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00"/>
  </sheetPr>
  <dimension ref="B1:AN85"/>
  <sheetViews>
    <sheetView zoomScalePageLayoutView="0" workbookViewId="0" topLeftCell="B1">
      <selection activeCell="C62" sqref="C62"/>
    </sheetView>
  </sheetViews>
  <sheetFormatPr defaultColWidth="9.140625" defaultRowHeight="12.75"/>
  <cols>
    <col min="1" max="1" width="0" style="36" hidden="1" customWidth="1"/>
    <col min="2" max="2" width="16.28125" style="49" customWidth="1"/>
    <col min="3" max="3" width="13.140625" style="50" customWidth="1"/>
    <col min="4" max="4" width="15.00390625" style="51" customWidth="1"/>
    <col min="5" max="5" width="10.140625" style="52" customWidth="1"/>
    <col min="6" max="6" width="4.00390625" style="36" customWidth="1"/>
    <col min="7" max="7" width="16.7109375" style="36" customWidth="1"/>
    <col min="8" max="8" width="16.00390625" style="36" customWidth="1"/>
    <col min="9" max="9" width="8.140625" style="36" customWidth="1"/>
    <col min="10" max="45" width="4.7109375" style="36" customWidth="1"/>
    <col min="46" max="16384" width="9.140625" style="36" customWidth="1"/>
  </cols>
  <sheetData>
    <row r="1" spans="2:36" ht="19.5">
      <c r="B1" s="487" t="s">
        <v>70</v>
      </c>
      <c r="C1" s="487"/>
      <c r="D1" s="487"/>
      <c r="E1" s="487"/>
      <c r="F1" s="18"/>
      <c r="G1" s="488" t="s">
        <v>71</v>
      </c>
      <c r="H1" s="488"/>
      <c r="I1" s="48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2:15" s="35" customFormat="1" ht="81.75" customHeight="1" thickBot="1">
      <c r="B2" s="214"/>
      <c r="C2" s="215" t="s">
        <v>72</v>
      </c>
      <c r="D2" s="216" t="s">
        <v>73</v>
      </c>
      <c r="E2" s="217" t="s">
        <v>74</v>
      </c>
      <c r="H2" s="42" t="s">
        <v>75</v>
      </c>
      <c r="I2" s="22" t="s">
        <v>74</v>
      </c>
      <c r="O2" s="54"/>
    </row>
    <row r="3" spans="2:40" s="278" customFormat="1" ht="15.75">
      <c r="B3" s="436" t="s">
        <v>35</v>
      </c>
      <c r="C3" s="276">
        <v>0.72</v>
      </c>
      <c r="D3" s="222" t="s">
        <v>250</v>
      </c>
      <c r="E3" s="277">
        <v>42173</v>
      </c>
      <c r="G3" s="279" t="s">
        <v>247</v>
      </c>
      <c r="H3" s="280" t="s">
        <v>335</v>
      </c>
      <c r="I3" s="230">
        <v>42287</v>
      </c>
      <c r="AM3" s="281"/>
      <c r="AN3" s="55"/>
    </row>
    <row r="4" spans="2:40" s="278" customFormat="1" ht="15.75">
      <c r="B4" s="468" t="s">
        <v>29</v>
      </c>
      <c r="C4" s="223">
        <v>0.86</v>
      </c>
      <c r="D4" s="222" t="s">
        <v>250</v>
      </c>
      <c r="E4" s="277">
        <v>42285</v>
      </c>
      <c r="G4" s="279" t="s">
        <v>248</v>
      </c>
      <c r="H4" s="280" t="s">
        <v>285</v>
      </c>
      <c r="I4" s="282">
        <v>42245</v>
      </c>
      <c r="AM4" s="281"/>
      <c r="AN4" s="55"/>
    </row>
    <row r="5" spans="2:40" s="278" customFormat="1" ht="16.5" thickBot="1">
      <c r="B5" s="466" t="s">
        <v>31</v>
      </c>
      <c r="C5" s="283">
        <v>1.45</v>
      </c>
      <c r="D5" s="284" t="s">
        <v>228</v>
      </c>
      <c r="E5" s="349">
        <v>42278</v>
      </c>
      <c r="F5" s="285"/>
      <c r="G5" s="299" t="s">
        <v>31</v>
      </c>
      <c r="H5" s="280" t="s">
        <v>279</v>
      </c>
      <c r="I5" s="230">
        <v>42154</v>
      </c>
      <c r="J5" s="285"/>
      <c r="K5" s="285"/>
      <c r="L5" s="285"/>
      <c r="M5" s="285"/>
      <c r="AM5" s="281"/>
      <c r="AN5" s="55"/>
    </row>
    <row r="6" spans="2:40" s="278" customFormat="1" ht="15.75">
      <c r="B6" s="469" t="s">
        <v>19</v>
      </c>
      <c r="C6" s="224">
        <v>1.53</v>
      </c>
      <c r="D6" s="222" t="s">
        <v>250</v>
      </c>
      <c r="E6" s="225">
        <v>42110</v>
      </c>
      <c r="AM6" s="281"/>
      <c r="AN6" s="55"/>
    </row>
    <row r="7" spans="2:40" s="278" customFormat="1" ht="15.75">
      <c r="B7" s="286" t="s">
        <v>49</v>
      </c>
      <c r="C7" s="223">
        <v>1.58</v>
      </c>
      <c r="D7" s="226" t="s">
        <v>250</v>
      </c>
      <c r="E7" s="227">
        <v>42215</v>
      </c>
      <c r="AM7" s="281"/>
      <c r="AN7" s="55"/>
    </row>
    <row r="8" spans="2:40" s="278" customFormat="1" ht="15.75">
      <c r="B8" s="459" t="s">
        <v>11</v>
      </c>
      <c r="C8" s="223">
        <v>1.58</v>
      </c>
      <c r="D8" s="226" t="s">
        <v>310</v>
      </c>
      <c r="E8" s="225">
        <v>42245</v>
      </c>
      <c r="AM8" s="281"/>
      <c r="AN8" s="55"/>
    </row>
    <row r="9" spans="2:40" s="278" customFormat="1" ht="15.75">
      <c r="B9" s="286" t="s">
        <v>17</v>
      </c>
      <c r="C9" s="223">
        <v>1.62</v>
      </c>
      <c r="D9" s="226" t="s">
        <v>309</v>
      </c>
      <c r="E9" s="227">
        <v>42245</v>
      </c>
      <c r="AM9" s="281"/>
      <c r="AN9" s="55"/>
    </row>
    <row r="10" spans="2:40" s="278" customFormat="1" ht="15.75">
      <c r="B10" s="256" t="s">
        <v>39</v>
      </c>
      <c r="C10" s="223">
        <v>1.76</v>
      </c>
      <c r="D10" s="226" t="s">
        <v>228</v>
      </c>
      <c r="E10" s="227">
        <v>42103</v>
      </c>
      <c r="F10" s="285"/>
      <c r="G10" s="285"/>
      <c r="H10" s="285"/>
      <c r="I10" s="285"/>
      <c r="J10" s="285"/>
      <c r="K10" s="285"/>
      <c r="L10" s="285"/>
      <c r="M10" s="285"/>
      <c r="AM10" s="281"/>
      <c r="AN10" s="55"/>
    </row>
    <row r="11" spans="2:40" s="278" customFormat="1" ht="15.75">
      <c r="B11" s="257" t="s">
        <v>39</v>
      </c>
      <c r="C11" s="223">
        <v>1.77</v>
      </c>
      <c r="D11" s="226" t="s">
        <v>311</v>
      </c>
      <c r="E11" s="227">
        <v>42245</v>
      </c>
      <c r="AM11" s="281"/>
      <c r="AN11" s="55"/>
    </row>
    <row r="12" spans="2:40" s="278" customFormat="1" ht="15.75">
      <c r="B12" s="255" t="s">
        <v>49</v>
      </c>
      <c r="C12" s="223">
        <v>2.21</v>
      </c>
      <c r="D12" s="226" t="s">
        <v>283</v>
      </c>
      <c r="E12" s="227">
        <v>42154</v>
      </c>
      <c r="AM12" s="281"/>
      <c r="AN12" s="55"/>
    </row>
    <row r="13" spans="2:40" s="278" customFormat="1" ht="15.75">
      <c r="B13" s="286" t="s">
        <v>29</v>
      </c>
      <c r="C13" s="223">
        <v>2.23</v>
      </c>
      <c r="D13" s="226" t="s">
        <v>259</v>
      </c>
      <c r="E13" s="227">
        <v>42222</v>
      </c>
      <c r="AM13" s="281"/>
      <c r="AN13" s="55"/>
    </row>
    <row r="14" spans="2:40" s="278" customFormat="1" ht="15.75">
      <c r="B14" s="274" t="s">
        <v>31</v>
      </c>
      <c r="C14" s="223">
        <v>2.27</v>
      </c>
      <c r="D14" s="226" t="s">
        <v>250</v>
      </c>
      <c r="E14" s="227">
        <v>42257</v>
      </c>
      <c r="AM14" s="281"/>
      <c r="AN14" s="55"/>
    </row>
    <row r="15" spans="2:40" s="278" customFormat="1" ht="15.75">
      <c r="B15" s="286" t="s">
        <v>15</v>
      </c>
      <c r="C15" s="223">
        <v>2.28</v>
      </c>
      <c r="D15" s="226" t="s">
        <v>281</v>
      </c>
      <c r="E15" s="227">
        <v>42154</v>
      </c>
      <c r="AM15" s="281"/>
      <c r="AN15" s="55"/>
    </row>
    <row r="16" spans="2:40" s="278" customFormat="1" ht="15.75">
      <c r="B16" s="255" t="s">
        <v>39</v>
      </c>
      <c r="C16" s="223">
        <v>2.5</v>
      </c>
      <c r="D16" s="226" t="s">
        <v>250</v>
      </c>
      <c r="E16" s="227">
        <v>42278</v>
      </c>
      <c r="AM16" s="281"/>
      <c r="AN16" s="55"/>
    </row>
    <row r="17" spans="2:40" s="278" customFormat="1" ht="15.75">
      <c r="B17" s="255" t="s">
        <v>334</v>
      </c>
      <c r="C17" s="223">
        <v>2.81</v>
      </c>
      <c r="D17" s="226" t="s">
        <v>259</v>
      </c>
      <c r="E17" s="227">
        <v>42131</v>
      </c>
      <c r="AM17" s="281"/>
      <c r="AN17" s="55"/>
    </row>
    <row r="18" spans="2:40" s="278" customFormat="1" ht="15.75">
      <c r="B18" s="256" t="s">
        <v>39</v>
      </c>
      <c r="C18" s="223">
        <v>2.87</v>
      </c>
      <c r="D18" s="226" t="s">
        <v>228</v>
      </c>
      <c r="E18" s="227">
        <v>42187</v>
      </c>
      <c r="AM18" s="281"/>
      <c r="AN18" s="55"/>
    </row>
    <row r="19" spans="2:40" s="285" customFormat="1" ht="15.75">
      <c r="B19" s="464" t="s">
        <v>19</v>
      </c>
      <c r="C19" s="287">
        <v>3.05</v>
      </c>
      <c r="D19" s="288" t="s">
        <v>284</v>
      </c>
      <c r="E19" s="227">
        <v>42154</v>
      </c>
      <c r="F19" s="278"/>
      <c r="G19" s="278"/>
      <c r="H19" s="278"/>
      <c r="I19" s="278"/>
      <c r="J19" s="278"/>
      <c r="K19" s="278"/>
      <c r="L19" s="278"/>
      <c r="M19" s="278"/>
      <c r="AM19" s="289"/>
      <c r="AN19" s="55"/>
    </row>
    <row r="20" spans="2:40" s="285" customFormat="1" ht="15.75">
      <c r="B20" s="290" t="s">
        <v>43</v>
      </c>
      <c r="C20" s="228">
        <v>3.27</v>
      </c>
      <c r="D20" s="229" t="s">
        <v>250</v>
      </c>
      <c r="E20" s="227">
        <v>42194</v>
      </c>
      <c r="F20" s="278"/>
      <c r="G20" s="278"/>
      <c r="H20" s="278"/>
      <c r="I20" s="278"/>
      <c r="J20" s="278"/>
      <c r="K20" s="278"/>
      <c r="L20" s="278"/>
      <c r="M20" s="278"/>
      <c r="AM20" s="289"/>
      <c r="AN20" s="55"/>
    </row>
    <row r="21" spans="2:40" s="285" customFormat="1" ht="15.75">
      <c r="B21" s="259" t="s">
        <v>11</v>
      </c>
      <c r="C21" s="228">
        <v>3.3</v>
      </c>
      <c r="D21" s="229" t="s">
        <v>225</v>
      </c>
      <c r="E21" s="227">
        <v>42103</v>
      </c>
      <c r="F21" s="278"/>
      <c r="G21" s="278"/>
      <c r="H21" s="278"/>
      <c r="I21" s="278"/>
      <c r="J21" s="278"/>
      <c r="K21" s="278"/>
      <c r="L21" s="278"/>
      <c r="M21" s="278"/>
      <c r="AM21" s="289"/>
      <c r="AN21" s="55"/>
    </row>
    <row r="22" spans="2:40" s="285" customFormat="1" ht="15.75">
      <c r="B22" s="290" t="s">
        <v>19</v>
      </c>
      <c r="C22" s="228">
        <v>3.3</v>
      </c>
      <c r="D22" s="229" t="s">
        <v>250</v>
      </c>
      <c r="E22" s="227">
        <v>42287</v>
      </c>
      <c r="F22" s="278"/>
      <c r="G22" s="278"/>
      <c r="H22" s="278"/>
      <c r="I22" s="278"/>
      <c r="J22" s="278"/>
      <c r="K22" s="278"/>
      <c r="L22" s="278"/>
      <c r="M22" s="278"/>
      <c r="AM22" s="289"/>
      <c r="AN22" s="55"/>
    </row>
    <row r="23" spans="2:5" s="278" customFormat="1" ht="15.75">
      <c r="B23" s="290" t="s">
        <v>33</v>
      </c>
      <c r="C23" s="228">
        <v>3.33</v>
      </c>
      <c r="D23" s="229" t="s">
        <v>312</v>
      </c>
      <c r="E23" s="230">
        <v>42245</v>
      </c>
    </row>
    <row r="24" spans="2:5" s="278" customFormat="1" ht="15.75">
      <c r="B24" s="258" t="s">
        <v>334</v>
      </c>
      <c r="C24" s="228">
        <v>3.34</v>
      </c>
      <c r="D24" s="229" t="s">
        <v>250</v>
      </c>
      <c r="E24" s="230">
        <v>42131</v>
      </c>
    </row>
    <row r="25" spans="2:5" s="278" customFormat="1" ht="15.75">
      <c r="B25" s="290" t="s">
        <v>334</v>
      </c>
      <c r="C25" s="228">
        <v>3.44</v>
      </c>
      <c r="D25" s="229" t="s">
        <v>259</v>
      </c>
      <c r="E25" s="230">
        <v>42159</v>
      </c>
    </row>
    <row r="26" spans="2:13" s="278" customFormat="1" ht="15.75">
      <c r="B26" s="290" t="s">
        <v>29</v>
      </c>
      <c r="C26" s="228">
        <v>3.45</v>
      </c>
      <c r="D26" s="229" t="s">
        <v>250</v>
      </c>
      <c r="E26" s="230">
        <v>42117</v>
      </c>
      <c r="F26" s="285"/>
      <c r="G26" s="285"/>
      <c r="H26" s="285"/>
      <c r="I26" s="285"/>
      <c r="J26" s="285"/>
      <c r="K26" s="285"/>
      <c r="L26" s="285"/>
      <c r="M26" s="285"/>
    </row>
    <row r="27" spans="2:5" s="278" customFormat="1" ht="15.75">
      <c r="B27" s="259" t="s">
        <v>13</v>
      </c>
      <c r="C27" s="228">
        <v>3.52</v>
      </c>
      <c r="D27" s="229" t="s">
        <v>260</v>
      </c>
      <c r="E27" s="230">
        <v>42287</v>
      </c>
    </row>
    <row r="28" spans="2:13" s="278" customFormat="1" ht="15.75">
      <c r="B28" s="258" t="s">
        <v>35</v>
      </c>
      <c r="C28" s="228">
        <v>3.59</v>
      </c>
      <c r="D28" s="229" t="s">
        <v>226</v>
      </c>
      <c r="E28" s="230">
        <v>42166</v>
      </c>
      <c r="F28" s="285"/>
      <c r="G28" s="285"/>
      <c r="H28" s="285"/>
      <c r="I28" s="285"/>
      <c r="J28" s="285"/>
      <c r="K28" s="285"/>
      <c r="L28" s="285"/>
      <c r="M28" s="285"/>
    </row>
    <row r="29" spans="2:5" s="278" customFormat="1" ht="15.75">
      <c r="B29" s="290" t="s">
        <v>37</v>
      </c>
      <c r="C29" s="228">
        <v>3.92</v>
      </c>
      <c r="D29" s="229" t="s">
        <v>250</v>
      </c>
      <c r="E29" s="230">
        <v>42159</v>
      </c>
    </row>
    <row r="30" spans="2:5" s="278" customFormat="1" ht="15.75">
      <c r="B30" s="258" t="s">
        <v>47</v>
      </c>
      <c r="C30" s="228">
        <v>3.94</v>
      </c>
      <c r="D30" s="229" t="s">
        <v>280</v>
      </c>
      <c r="E30" s="230">
        <v>42154</v>
      </c>
    </row>
    <row r="31" spans="2:5" s="278" customFormat="1" ht="15.75">
      <c r="B31" s="290" t="s">
        <v>45</v>
      </c>
      <c r="C31" s="228">
        <v>4.13</v>
      </c>
      <c r="D31" s="229" t="s">
        <v>309</v>
      </c>
      <c r="E31" s="230">
        <v>42245</v>
      </c>
    </row>
    <row r="32" spans="2:5" s="278" customFormat="1" ht="15.75">
      <c r="B32" s="290" t="s">
        <v>29</v>
      </c>
      <c r="C32" s="228">
        <v>4.24</v>
      </c>
      <c r="D32" s="229" t="s">
        <v>224</v>
      </c>
      <c r="E32" s="230">
        <v>42103</v>
      </c>
    </row>
    <row r="33" spans="2:5" s="278" customFormat="1" ht="15.75">
      <c r="B33" s="259" t="s">
        <v>49</v>
      </c>
      <c r="C33" s="228">
        <v>4.26</v>
      </c>
      <c r="D33" s="229" t="s">
        <v>228</v>
      </c>
      <c r="E33" s="230">
        <v>42287</v>
      </c>
    </row>
    <row r="34" spans="2:5" s="278" customFormat="1" ht="15.75">
      <c r="B34" s="258" t="s">
        <v>15</v>
      </c>
      <c r="C34" s="228">
        <v>4.62</v>
      </c>
      <c r="D34" s="229" t="s">
        <v>250</v>
      </c>
      <c r="E34" s="230">
        <v>42222</v>
      </c>
    </row>
    <row r="35" spans="2:5" s="278" customFormat="1" ht="15.75">
      <c r="B35" s="258" t="s">
        <v>49</v>
      </c>
      <c r="C35" s="228">
        <v>4.99</v>
      </c>
      <c r="D35" s="229" t="s">
        <v>250</v>
      </c>
      <c r="E35" s="230">
        <v>42201</v>
      </c>
    </row>
    <row r="36" spans="2:5" s="278" customFormat="1" ht="15.75">
      <c r="B36" s="258" t="s">
        <v>39</v>
      </c>
      <c r="C36" s="228">
        <v>5.02</v>
      </c>
      <c r="D36" s="229" t="s">
        <v>260</v>
      </c>
      <c r="E36" s="230">
        <v>42278</v>
      </c>
    </row>
    <row r="37" spans="2:5" s="278" customFormat="1" ht="15.75">
      <c r="B37" s="448" t="s">
        <v>49</v>
      </c>
      <c r="C37" s="228">
        <v>5.04</v>
      </c>
      <c r="D37" s="229" t="s">
        <v>250</v>
      </c>
      <c r="E37" s="230">
        <v>42138</v>
      </c>
    </row>
    <row r="38" spans="2:5" s="278" customFormat="1" ht="15.75">
      <c r="B38" s="290" t="s">
        <v>29</v>
      </c>
      <c r="C38" s="228">
        <v>5.17</v>
      </c>
      <c r="D38" s="229" t="s">
        <v>282</v>
      </c>
      <c r="E38" s="230">
        <v>42154</v>
      </c>
    </row>
    <row r="39" spans="2:5" s="278" customFormat="1" ht="15.75">
      <c r="B39" s="258" t="s">
        <v>15</v>
      </c>
      <c r="C39" s="228">
        <v>5.33</v>
      </c>
      <c r="D39" s="229" t="s">
        <v>226</v>
      </c>
      <c r="E39" s="230">
        <v>42222</v>
      </c>
    </row>
    <row r="40" spans="2:5" s="278" customFormat="1" ht="15.75">
      <c r="B40" s="290" t="s">
        <v>41</v>
      </c>
      <c r="C40" s="228">
        <v>5.63</v>
      </c>
      <c r="D40" s="229" t="s">
        <v>227</v>
      </c>
      <c r="E40" s="230">
        <v>42222</v>
      </c>
    </row>
    <row r="41" spans="2:5" s="278" customFormat="1" ht="15.75">
      <c r="B41" s="258" t="s">
        <v>39</v>
      </c>
      <c r="C41" s="228">
        <v>5.69</v>
      </c>
      <c r="D41" s="229" t="s">
        <v>250</v>
      </c>
      <c r="E41" s="230">
        <v>42257</v>
      </c>
    </row>
    <row r="42" spans="2:5" s="278" customFormat="1" ht="15.75">
      <c r="B42" s="260" t="s">
        <v>49</v>
      </c>
      <c r="C42" s="228">
        <v>5.84</v>
      </c>
      <c r="D42" s="229" t="s">
        <v>228</v>
      </c>
      <c r="E42" s="230">
        <v>42131</v>
      </c>
    </row>
    <row r="43" spans="2:5" s="278" customFormat="1" ht="15.75">
      <c r="B43" s="470" t="s">
        <v>53</v>
      </c>
      <c r="C43" s="275">
        <v>6.29</v>
      </c>
      <c r="D43" s="229" t="s">
        <v>226</v>
      </c>
      <c r="E43" s="230">
        <v>42124</v>
      </c>
    </row>
    <row r="44" spans="2:5" s="278" customFormat="1" ht="15.75">
      <c r="B44" s="286" t="s">
        <v>53</v>
      </c>
      <c r="C44" s="223">
        <v>6.38</v>
      </c>
      <c r="D44" s="229" t="s">
        <v>250</v>
      </c>
      <c r="E44" s="230">
        <v>42152</v>
      </c>
    </row>
    <row r="45" spans="2:5" s="278" customFormat="1" ht="15.75">
      <c r="B45" s="255" t="s">
        <v>35</v>
      </c>
      <c r="C45" s="223">
        <v>6.45</v>
      </c>
      <c r="D45" s="229" t="s">
        <v>225</v>
      </c>
      <c r="E45" s="230">
        <v>42159</v>
      </c>
    </row>
    <row r="46" spans="2:5" s="278" customFormat="1" ht="15.75">
      <c r="B46" s="286" t="s">
        <v>49</v>
      </c>
      <c r="C46" s="223">
        <v>6.49</v>
      </c>
      <c r="D46" s="226" t="s">
        <v>226</v>
      </c>
      <c r="E46" s="227">
        <v>42250</v>
      </c>
    </row>
    <row r="47" spans="2:5" s="278" customFormat="1" ht="15.75">
      <c r="B47" s="257" t="s">
        <v>21</v>
      </c>
      <c r="C47" s="223">
        <v>6.52</v>
      </c>
      <c r="D47" s="226" t="s">
        <v>224</v>
      </c>
      <c r="E47" s="227">
        <v>42287</v>
      </c>
    </row>
    <row r="48" spans="2:5" s="278" customFormat="1" ht="15.75">
      <c r="B48" s="256" t="s">
        <v>19</v>
      </c>
      <c r="C48" s="223">
        <v>6.76</v>
      </c>
      <c r="D48" s="226" t="s">
        <v>260</v>
      </c>
      <c r="E48" s="227">
        <v>42131</v>
      </c>
    </row>
    <row r="49" spans="2:5" s="278" customFormat="1" ht="15.75">
      <c r="B49" s="255" t="s">
        <v>11</v>
      </c>
      <c r="C49" s="223">
        <v>6.82</v>
      </c>
      <c r="D49" s="226" t="s">
        <v>226</v>
      </c>
      <c r="E49" s="227">
        <v>42103</v>
      </c>
    </row>
    <row r="50" spans="2:5" s="278" customFormat="1" ht="15.75">
      <c r="B50" s="256" t="s">
        <v>11</v>
      </c>
      <c r="C50" s="223">
        <v>6.86</v>
      </c>
      <c r="D50" s="226" t="s">
        <v>250</v>
      </c>
      <c r="E50" s="227">
        <v>42236</v>
      </c>
    </row>
    <row r="51" spans="2:5" s="278" customFormat="1" ht="15.75">
      <c r="B51" s="255" t="s">
        <v>39</v>
      </c>
      <c r="C51" s="223">
        <v>7.25</v>
      </c>
      <c r="D51" s="226" t="s">
        <v>226</v>
      </c>
      <c r="E51" s="227">
        <v>42271</v>
      </c>
    </row>
    <row r="52" spans="2:5" s="278" customFormat="1" ht="15.75">
      <c r="B52" s="286" t="s">
        <v>31</v>
      </c>
      <c r="C52" s="223">
        <v>7.99</v>
      </c>
      <c r="D52" s="226" t="s">
        <v>250</v>
      </c>
      <c r="E52" s="227">
        <v>42243</v>
      </c>
    </row>
    <row r="53" spans="2:5" s="278" customFormat="1" ht="15.75">
      <c r="B53" s="286" t="s">
        <v>15</v>
      </c>
      <c r="C53" s="223">
        <v>8.15</v>
      </c>
      <c r="D53" s="226" t="s">
        <v>227</v>
      </c>
      <c r="E53" s="227">
        <v>42287</v>
      </c>
    </row>
    <row r="54" spans="2:5" s="278" customFormat="1" ht="15.75">
      <c r="B54" s="286" t="s">
        <v>33</v>
      </c>
      <c r="C54" s="223">
        <v>8.67</v>
      </c>
      <c r="D54" s="226" t="s">
        <v>260</v>
      </c>
      <c r="E54" s="227">
        <v>42250</v>
      </c>
    </row>
    <row r="55" spans="2:5" s="278" customFormat="1" ht="15.75">
      <c r="B55" s="286" t="s">
        <v>35</v>
      </c>
      <c r="C55" s="223">
        <v>10.51</v>
      </c>
      <c r="D55" s="226" t="s">
        <v>260</v>
      </c>
      <c r="E55" s="227">
        <v>42187</v>
      </c>
    </row>
    <row r="56" spans="2:5" s="278" customFormat="1" ht="15.75">
      <c r="B56" s="256" t="s">
        <v>15</v>
      </c>
      <c r="C56" s="223">
        <v>12.5</v>
      </c>
      <c r="D56" s="226" t="s">
        <v>226</v>
      </c>
      <c r="E56" s="227">
        <v>42287</v>
      </c>
    </row>
    <row r="57" spans="2:5" s="278" customFormat="1" ht="15.75">
      <c r="B57" s="286" t="s">
        <v>43</v>
      </c>
      <c r="C57" s="223">
        <v>13.37</v>
      </c>
      <c r="D57" s="226" t="s">
        <v>224</v>
      </c>
      <c r="E57" s="227">
        <v>42250</v>
      </c>
    </row>
    <row r="58" spans="2:5" s="278" customFormat="1" ht="15.75">
      <c r="B58" s="255" t="s">
        <v>45</v>
      </c>
      <c r="C58" s="223">
        <v>13.54</v>
      </c>
      <c r="D58" s="226" t="s">
        <v>226</v>
      </c>
      <c r="E58" s="227">
        <v>42187</v>
      </c>
    </row>
    <row r="59" spans="2:5" s="278" customFormat="1" ht="15.75">
      <c r="B59" s="256" t="s">
        <v>15</v>
      </c>
      <c r="C59" s="223">
        <v>14.08</v>
      </c>
      <c r="D59" s="226" t="s">
        <v>224</v>
      </c>
      <c r="E59" s="227">
        <v>42131</v>
      </c>
    </row>
    <row r="60" spans="2:5" s="278" customFormat="1" ht="15.75">
      <c r="B60" s="459" t="s">
        <v>334</v>
      </c>
      <c r="C60" s="223">
        <v>15</v>
      </c>
      <c r="D60" s="226" t="s">
        <v>227</v>
      </c>
      <c r="E60" s="227">
        <v>42103</v>
      </c>
    </row>
    <row r="61" spans="2:5" s="278" customFormat="1" ht="15.75">
      <c r="B61" s="255" t="s">
        <v>11</v>
      </c>
      <c r="C61" s="223">
        <v>16.34</v>
      </c>
      <c r="D61" s="226" t="s">
        <v>250</v>
      </c>
      <c r="E61" s="227">
        <v>42287</v>
      </c>
    </row>
    <row r="62" spans="2:5" s="278" customFormat="1" ht="15.75">
      <c r="B62" s="286" t="s">
        <v>21</v>
      </c>
      <c r="C62" s="223">
        <v>17.73</v>
      </c>
      <c r="D62" s="226" t="s">
        <v>226</v>
      </c>
      <c r="E62" s="227">
        <v>42229</v>
      </c>
    </row>
    <row r="63" spans="2:5" s="278" customFormat="1" ht="15.75">
      <c r="B63" s="255" t="s">
        <v>39</v>
      </c>
      <c r="C63" s="223">
        <v>22.79</v>
      </c>
      <c r="D63" s="226" t="s">
        <v>227</v>
      </c>
      <c r="E63" s="227">
        <v>42250</v>
      </c>
    </row>
    <row r="64" spans="2:5" s="278" customFormat="1" ht="15.75">
      <c r="B64" s="256"/>
      <c r="C64" s="223"/>
      <c r="D64" s="226"/>
      <c r="E64" s="227"/>
    </row>
    <row r="65" spans="2:5" s="278" customFormat="1" ht="15.75">
      <c r="B65" s="286"/>
      <c r="C65" s="223"/>
      <c r="D65" s="226"/>
      <c r="E65" s="227"/>
    </row>
    <row r="66" spans="2:5" s="278" customFormat="1" ht="15.75">
      <c r="B66" s="255"/>
      <c r="C66" s="223"/>
      <c r="D66" s="226"/>
      <c r="E66" s="227"/>
    </row>
    <row r="67" spans="2:5" s="278" customFormat="1" ht="15.75">
      <c r="B67" s="255"/>
      <c r="C67" s="223"/>
      <c r="D67" s="226"/>
      <c r="E67" s="227"/>
    </row>
    <row r="68" spans="2:5" s="278" customFormat="1" ht="15.75">
      <c r="B68" s="256"/>
      <c r="C68" s="223"/>
      <c r="D68" s="226"/>
      <c r="E68" s="227"/>
    </row>
    <row r="69" spans="2:5" s="278" customFormat="1" ht="15.75">
      <c r="B69" s="286"/>
      <c r="C69" s="223"/>
      <c r="D69" s="226"/>
      <c r="E69" s="227"/>
    </row>
    <row r="70" spans="2:5" s="278" customFormat="1" ht="15.75">
      <c r="B70" s="286"/>
      <c r="C70" s="223"/>
      <c r="D70" s="291"/>
      <c r="E70" s="292"/>
    </row>
    <row r="71" spans="2:5" s="278" customFormat="1" ht="15.75">
      <c r="B71" s="293"/>
      <c r="C71" s="294"/>
      <c r="D71" s="295"/>
      <c r="E71" s="296"/>
    </row>
    <row r="72" spans="2:5" s="278" customFormat="1" ht="15.75">
      <c r="B72" s="293"/>
      <c r="C72" s="294"/>
      <c r="D72" s="295"/>
      <c r="E72" s="296"/>
    </row>
    <row r="73" spans="2:5" s="278" customFormat="1" ht="15.75">
      <c r="B73" s="293"/>
      <c r="C73" s="294"/>
      <c r="D73" s="295"/>
      <c r="E73" s="296"/>
    </row>
    <row r="74" spans="2:5" s="278" customFormat="1" ht="15.75">
      <c r="B74" s="293"/>
      <c r="C74" s="294"/>
      <c r="D74" s="295"/>
      <c r="E74" s="296"/>
    </row>
    <row r="75" spans="2:5" s="278" customFormat="1" ht="15.75">
      <c r="B75" s="293"/>
      <c r="C75" s="294"/>
      <c r="D75" s="295"/>
      <c r="E75" s="296"/>
    </row>
    <row r="76" spans="2:5" s="278" customFormat="1" ht="15.75">
      <c r="B76" s="293"/>
      <c r="C76" s="297"/>
      <c r="D76" s="295"/>
      <c r="E76" s="296"/>
    </row>
    <row r="77" spans="2:5" s="278" customFormat="1" ht="15.75">
      <c r="B77" s="293"/>
      <c r="C77" s="297"/>
      <c r="D77" s="295"/>
      <c r="E77" s="296"/>
    </row>
    <row r="78" spans="2:5" s="278" customFormat="1" ht="15.75">
      <c r="B78" s="293"/>
      <c r="C78" s="297"/>
      <c r="D78" s="295"/>
      <c r="E78" s="296"/>
    </row>
    <row r="79" spans="2:5" s="278" customFormat="1" ht="15.75">
      <c r="B79" s="293"/>
      <c r="C79" s="297"/>
      <c r="D79" s="295"/>
      <c r="E79" s="296"/>
    </row>
    <row r="80" spans="2:5" s="278" customFormat="1" ht="15.75">
      <c r="B80" s="293"/>
      <c r="C80" s="297"/>
      <c r="D80" s="295"/>
      <c r="E80" s="296"/>
    </row>
    <row r="81" spans="2:5" s="278" customFormat="1" ht="15.75">
      <c r="B81" s="293"/>
      <c r="C81" s="297"/>
      <c r="D81" s="295"/>
      <c r="E81" s="296"/>
    </row>
    <row r="82" spans="2:5" s="278" customFormat="1" ht="15.75">
      <c r="B82" s="293"/>
      <c r="C82" s="297"/>
      <c r="D82" s="295"/>
      <c r="E82" s="296"/>
    </row>
    <row r="83" spans="2:5" s="278" customFormat="1" ht="15.75">
      <c r="B83" s="293"/>
      <c r="C83" s="297"/>
      <c r="D83" s="295"/>
      <c r="E83" s="296"/>
    </row>
    <row r="84" spans="2:5" s="278" customFormat="1" ht="15.75">
      <c r="B84" s="293"/>
      <c r="C84" s="297"/>
      <c r="D84" s="295"/>
      <c r="E84" s="296"/>
    </row>
    <row r="85" spans="2:5" s="278" customFormat="1" ht="15.75">
      <c r="B85" s="293"/>
      <c r="C85" s="297"/>
      <c r="D85" s="295"/>
      <c r="E85" s="296"/>
    </row>
  </sheetData>
  <sheetProtection selectLockedCells="1" selectUnlockedCells="1"/>
  <autoFilter ref="B2:E2">
    <sortState ref="B3:E85">
      <sortCondition sortBy="value" ref="C3:C85"/>
    </sortState>
  </autoFilter>
  <mergeCells count="2">
    <mergeCell ref="B1:E1"/>
    <mergeCell ref="G1:I1"/>
  </mergeCells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.7109375" style="56" customWidth="1"/>
    <col min="2" max="2" width="9.7109375" style="56" customWidth="1"/>
    <col min="3" max="3" width="10.7109375" style="57" customWidth="1"/>
    <col min="4" max="4" width="2.7109375" style="56" customWidth="1"/>
    <col min="5" max="5" width="9.7109375" style="56" customWidth="1"/>
    <col min="6" max="6" width="10.7109375" style="58" customWidth="1"/>
    <col min="7" max="7" width="2.7109375" style="56" customWidth="1"/>
    <col min="8" max="8" width="9.7109375" style="56" customWidth="1"/>
    <col min="9" max="9" width="10.7109375" style="57" customWidth="1"/>
    <col min="10" max="10" width="2.7109375" style="56" customWidth="1"/>
    <col min="11" max="11" width="9.7109375" style="56" customWidth="1"/>
    <col min="12" max="12" width="10.7109375" style="57" customWidth="1"/>
    <col min="13" max="16384" width="9.140625" style="56" customWidth="1"/>
  </cols>
  <sheetData>
    <row r="1" spans="1:12" ht="12.75">
      <c r="A1" s="489" t="s">
        <v>0</v>
      </c>
      <c r="B1" s="489"/>
      <c r="C1" s="489"/>
      <c r="D1" s="60"/>
      <c r="E1" s="489" t="s">
        <v>1</v>
      </c>
      <c r="F1" s="489"/>
      <c r="G1" s="60"/>
      <c r="H1" s="489" t="s">
        <v>2</v>
      </c>
      <c r="I1" s="489"/>
      <c r="J1" s="60"/>
      <c r="K1" s="489" t="s">
        <v>76</v>
      </c>
      <c r="L1" s="489"/>
    </row>
    <row r="2" spans="1:12" ht="15" customHeight="1">
      <c r="A2" s="61">
        <v>1</v>
      </c>
      <c r="B2" s="62" t="str">
        <f>Point!B3</f>
        <v>Robin T</v>
      </c>
      <c r="C2" s="63">
        <f>Point!C3</f>
        <v>127</v>
      </c>
      <c r="D2" s="59"/>
      <c r="E2" s="64" t="str">
        <f>Money!B3</f>
        <v>Robin T</v>
      </c>
      <c r="F2" s="65">
        <f>Money!C3</f>
        <v>26710000</v>
      </c>
      <c r="G2" s="59"/>
      <c r="H2" s="62" t="str">
        <f>Puts!B3</f>
        <v>Robin T</v>
      </c>
      <c r="I2" s="66">
        <f>Puts!C3</f>
        <v>29.666666666666668</v>
      </c>
      <c r="J2" s="59"/>
      <c r="K2" s="62" t="str">
        <f>'Samlet Stilling'!O3</f>
        <v>Jesper VN</v>
      </c>
      <c r="L2" s="66">
        <f>'Samlet Stilling'!P3</f>
        <v>0.72</v>
      </c>
    </row>
    <row r="3" spans="1:12" ht="15" customHeight="1">
      <c r="A3" s="61">
        <v>2</v>
      </c>
      <c r="B3" s="62" t="str">
        <f>Point!B4</f>
        <v>Jesper VN</v>
      </c>
      <c r="C3" s="63">
        <f>Point!C4</f>
        <v>102</v>
      </c>
      <c r="D3" s="59"/>
      <c r="E3" s="64" t="str">
        <f>Money!B4</f>
        <v>Jakob K</v>
      </c>
      <c r="F3" s="65">
        <f>Money!C4</f>
        <v>20470000</v>
      </c>
      <c r="G3" s="59"/>
      <c r="H3" s="62" t="str">
        <f>Puts!B4</f>
        <v>Erik P</v>
      </c>
      <c r="I3" s="66">
        <f>Puts!C4</f>
        <v>31.61111111111111</v>
      </c>
      <c r="J3" s="59"/>
      <c r="K3" s="62" t="str">
        <f>'Samlet Stilling'!O4</f>
        <v>Jakob K</v>
      </c>
      <c r="L3" s="66">
        <f>'Samlet Stilling'!P4</f>
        <v>0.86</v>
      </c>
    </row>
    <row r="4" spans="1:12" ht="15" customHeight="1" thickBot="1">
      <c r="A4" s="67">
        <v>3</v>
      </c>
      <c r="B4" s="68" t="str">
        <f>Point!B5</f>
        <v>Morten C</v>
      </c>
      <c r="C4" s="69">
        <f>Point!C5</f>
        <v>97</v>
      </c>
      <c r="D4" s="59"/>
      <c r="E4" s="70" t="str">
        <f>Money!B5</f>
        <v>Jesper VN</v>
      </c>
      <c r="F4" s="71">
        <f>Money!C5</f>
        <v>19400000</v>
      </c>
      <c r="G4" s="59"/>
      <c r="H4" s="68" t="str">
        <f>Puts!B5</f>
        <v>Jesper VN</v>
      </c>
      <c r="I4" s="72">
        <f>Puts!C5</f>
        <v>31.77777777777778</v>
      </c>
      <c r="J4" s="59"/>
      <c r="K4" s="231" t="str">
        <f>'Samlet Stilling'!O5</f>
        <v>Jan H</v>
      </c>
      <c r="L4" s="232">
        <f>'Samlet Stilling'!P5</f>
        <v>1.45</v>
      </c>
    </row>
    <row r="5" spans="1:12" ht="15" customHeight="1">
      <c r="A5" s="73">
        <v>4</v>
      </c>
      <c r="B5" s="74" t="str">
        <f>Point!B6</f>
        <v>Jakob K</v>
      </c>
      <c r="C5" s="75">
        <f>Point!C6</f>
        <v>97</v>
      </c>
      <c r="D5" s="59"/>
      <c r="E5" s="76" t="str">
        <f>Money!B6</f>
        <v>Karsten V</v>
      </c>
      <c r="F5" s="77">
        <f>Money!C6</f>
        <v>19190000</v>
      </c>
      <c r="G5" s="59"/>
      <c r="H5" s="74" t="str">
        <f>Puts!B6</f>
        <v>Jakob K</v>
      </c>
      <c r="I5" s="78">
        <f>Puts!C6</f>
        <v>31.833333333333332</v>
      </c>
      <c r="J5" s="59"/>
      <c r="K5" s="74" t="str">
        <f>'Samlet Stilling'!O6</f>
        <v>Erik P</v>
      </c>
      <c r="L5" s="78">
        <f>'Samlet Stilling'!P6</f>
        <v>1.53</v>
      </c>
    </row>
    <row r="6" spans="1:12" ht="15" customHeight="1">
      <c r="A6" s="73">
        <v>5</v>
      </c>
      <c r="B6" s="74" t="str">
        <f>Point!B7</f>
        <v>Karsten V</v>
      </c>
      <c r="C6" s="75">
        <f>Point!C7</f>
        <v>96</v>
      </c>
      <c r="D6" s="59"/>
      <c r="E6" s="76" t="str">
        <f>Money!B7</f>
        <v>Jan H</v>
      </c>
      <c r="F6" s="77">
        <f>Money!C7</f>
        <v>18620000</v>
      </c>
      <c r="G6" s="59"/>
      <c r="H6" s="74" t="str">
        <f>Puts!B7</f>
        <v>Jan H</v>
      </c>
      <c r="I6" s="78">
        <f>Puts!C7</f>
        <v>31.944444444444443</v>
      </c>
      <c r="J6" s="59"/>
      <c r="K6" s="62" t="str">
        <f>'Samlet Stilling'!O7</f>
        <v>Robin T</v>
      </c>
      <c r="L6" s="66">
        <f>'Samlet Stilling'!P7</f>
        <v>1.58</v>
      </c>
    </row>
    <row r="7" spans="1:12" ht="15" customHeight="1">
      <c r="A7" s="73">
        <v>6</v>
      </c>
      <c r="B7" s="74" t="str">
        <f>Point!B8</f>
        <v>Jan H</v>
      </c>
      <c r="C7" s="75">
        <f>Point!C8</f>
        <v>93</v>
      </c>
      <c r="D7" s="59"/>
      <c r="E7" s="76" t="str">
        <f>Money!B8</f>
        <v>Morten C</v>
      </c>
      <c r="F7" s="77">
        <f>Money!C8</f>
        <v>18380000</v>
      </c>
      <c r="G7" s="59"/>
      <c r="H7" s="74" t="str">
        <f>Puts!B8</f>
        <v>Karsten V</v>
      </c>
      <c r="I7" s="78">
        <f>Puts!C8</f>
        <v>32.388888888888886</v>
      </c>
      <c r="J7" s="59"/>
      <c r="K7" s="62" t="str">
        <f>'Samlet Stilling'!O8</f>
        <v>Børge H</v>
      </c>
      <c r="L7" s="66">
        <f>'Samlet Stilling'!P8</f>
        <v>1.58</v>
      </c>
    </row>
    <row r="8" spans="1:12" ht="15" customHeight="1">
      <c r="A8" s="73">
        <v>7</v>
      </c>
      <c r="B8" s="74" t="str">
        <f>Point!B9</f>
        <v>Børge H</v>
      </c>
      <c r="C8" s="75">
        <f>Point!C9</f>
        <v>89</v>
      </c>
      <c r="D8" s="59"/>
      <c r="E8" s="76" t="str">
        <f>Money!B9</f>
        <v>Børge H</v>
      </c>
      <c r="F8" s="77">
        <f>Money!C9</f>
        <v>16910000</v>
      </c>
      <c r="G8" s="59"/>
      <c r="H8" s="74" t="str">
        <f>Puts!B9</f>
        <v>Børge H</v>
      </c>
      <c r="I8" s="78">
        <f>Puts!C9</f>
        <v>32.55555555555556</v>
      </c>
      <c r="J8" s="59"/>
      <c r="K8" s="62" t="str">
        <f>'Samlet Stilling'!O9</f>
        <v>Claus J</v>
      </c>
      <c r="L8" s="66">
        <f>'Samlet Stilling'!P9</f>
        <v>1.62</v>
      </c>
    </row>
    <row r="9" spans="1:12" ht="15" customHeight="1">
      <c r="A9" s="73">
        <v>8</v>
      </c>
      <c r="B9" s="74" t="str">
        <f>Point!B10</f>
        <v>John S</v>
      </c>
      <c r="C9" s="75">
        <f>Point!C10</f>
        <v>71</v>
      </c>
      <c r="D9" s="59"/>
      <c r="E9" s="76" t="str">
        <f>Money!B10</f>
        <v>Erik P</v>
      </c>
      <c r="F9" s="77">
        <f>Money!C10</f>
        <v>13790000</v>
      </c>
      <c r="G9" s="59"/>
      <c r="H9" s="74" t="str">
        <f>Puts!B10</f>
        <v>Morten C</v>
      </c>
      <c r="I9" s="78">
        <f>Puts!C10</f>
        <v>32.94444444444444</v>
      </c>
      <c r="J9" s="59"/>
      <c r="K9" s="62" t="str">
        <f>'Samlet Stilling'!O10</f>
        <v>Karsten V</v>
      </c>
      <c r="L9" s="66">
        <f>'Samlet Stilling'!P10</f>
        <v>1.76</v>
      </c>
    </row>
    <row r="10" spans="1:12" ht="15" customHeight="1">
      <c r="A10" s="73">
        <v>9</v>
      </c>
      <c r="B10" s="74" t="str">
        <f>Point!B11</f>
        <v>Martin A</v>
      </c>
      <c r="C10" s="75">
        <f>Point!C11</f>
        <v>71</v>
      </c>
      <c r="D10" s="59"/>
      <c r="E10" s="76" t="str">
        <f>Money!B11</f>
        <v>Bo H</v>
      </c>
      <c r="F10" s="77">
        <f>Money!C11</f>
        <v>11910000</v>
      </c>
      <c r="G10" s="59"/>
      <c r="H10" s="74" t="str">
        <f>Puts!B11</f>
        <v>John S</v>
      </c>
      <c r="I10" s="78">
        <f>Puts!C11</f>
        <v>33.72222222222222</v>
      </c>
      <c r="J10" s="59"/>
      <c r="K10" s="62" t="str">
        <f>'Samlet Stilling'!O11</f>
        <v>Karsten V</v>
      </c>
      <c r="L10" s="66">
        <f>'Samlet Stilling'!P11</f>
        <v>1.77</v>
      </c>
    </row>
    <row r="11" spans="1:12" ht="15" customHeight="1">
      <c r="A11" s="73">
        <v>10</v>
      </c>
      <c r="B11" s="74" t="str">
        <f>Point!B12</f>
        <v>Bo H</v>
      </c>
      <c r="C11" s="75">
        <f>Point!C12</f>
        <v>68</v>
      </c>
      <c r="D11" s="59"/>
      <c r="E11" s="76" t="str">
        <f>Money!B12</f>
        <v>Steen N</v>
      </c>
      <c r="F11" s="77">
        <f>Money!C12</f>
        <v>11360000</v>
      </c>
      <c r="G11" s="59"/>
      <c r="H11" s="74" t="str">
        <f>Puts!B12</f>
        <v>Torben J</v>
      </c>
      <c r="I11" s="78">
        <f>Puts!C12</f>
        <v>34.388888888888886</v>
      </c>
      <c r="J11" s="59"/>
      <c r="K11" s="62" t="str">
        <f>'Samlet Stilling'!O12</f>
        <v>Robin T</v>
      </c>
      <c r="L11" s="66">
        <f>'Samlet Stilling'!P12</f>
        <v>2.21</v>
      </c>
    </row>
    <row r="12" spans="1:12" ht="15" customHeight="1">
      <c r="A12" s="73">
        <v>11</v>
      </c>
      <c r="B12" s="74" t="str">
        <f>Point!B13</f>
        <v>Erik P</v>
      </c>
      <c r="C12" s="75">
        <f>Point!C13</f>
        <v>64</v>
      </c>
      <c r="D12" s="59"/>
      <c r="E12" s="76" t="str">
        <f>Money!B13</f>
        <v>John S</v>
      </c>
      <c r="F12" s="77">
        <f>Money!C13</f>
        <v>11280000</v>
      </c>
      <c r="G12" s="59"/>
      <c r="H12" s="74" t="str">
        <f>Puts!B13</f>
        <v>Steen N</v>
      </c>
      <c r="I12" s="78">
        <f>Puts!C13</f>
        <v>34.72222222222222</v>
      </c>
      <c r="J12" s="59"/>
      <c r="K12" s="489" t="s">
        <v>77</v>
      </c>
      <c r="L12" s="489"/>
    </row>
    <row r="13" spans="1:12" ht="15" customHeight="1">
      <c r="A13" s="73">
        <v>12</v>
      </c>
      <c r="B13" s="74" t="str">
        <f>Point!B14</f>
        <v>Steen N</v>
      </c>
      <c r="C13" s="75">
        <f>Point!C14</f>
        <v>58</v>
      </c>
      <c r="D13" s="59"/>
      <c r="E13" s="76" t="str">
        <f>Money!B14</f>
        <v>Martin A</v>
      </c>
      <c r="F13" s="77">
        <f>Money!C14</f>
        <v>11000000</v>
      </c>
      <c r="G13" s="59"/>
      <c r="H13" s="74" t="str">
        <f>Puts!B14</f>
        <v>Carsten D</v>
      </c>
      <c r="I13" s="78">
        <f>Puts!C14</f>
        <v>34.72222222222222</v>
      </c>
      <c r="J13" s="59"/>
      <c r="K13" s="62" t="str">
        <f>'Samlet Stilling'!O15</f>
        <v>Robin</v>
      </c>
      <c r="L13" s="66" t="str">
        <f>'Samlet Stilling'!P15</f>
        <v>Skoven</v>
      </c>
    </row>
    <row r="14" spans="1:12" ht="15" customHeight="1">
      <c r="A14" s="73">
        <v>13</v>
      </c>
      <c r="B14" s="74" t="str">
        <f>Point!B15</f>
        <v>Carsten D</v>
      </c>
      <c r="C14" s="75">
        <f>Point!C15</f>
        <v>56</v>
      </c>
      <c r="D14" s="59"/>
      <c r="E14" s="76" t="str">
        <f>Money!B15</f>
        <v>Carsten D</v>
      </c>
      <c r="F14" s="77">
        <f>Money!C15</f>
        <v>10500000</v>
      </c>
      <c r="G14" s="59"/>
      <c r="H14" s="74" t="str">
        <f>Puts!B15</f>
        <v>Hans MV</v>
      </c>
      <c r="I14" s="78">
        <f>Puts!C15</f>
        <v>34.77777777777778</v>
      </c>
      <c r="J14" s="59"/>
      <c r="K14" s="62" t="str">
        <f>'Samlet Stilling'!O16</f>
        <v>Jens</v>
      </c>
      <c r="L14" s="66" t="str">
        <f>'Samlet Stilling'!P16</f>
        <v>Gyttegård</v>
      </c>
    </row>
    <row r="15" spans="1:12" ht="15" customHeight="1">
      <c r="A15" s="73">
        <v>14</v>
      </c>
      <c r="B15" s="74" t="str">
        <f>Point!B16</f>
        <v>Torben J</v>
      </c>
      <c r="C15" s="75">
        <f>Point!C16</f>
        <v>53</v>
      </c>
      <c r="D15" s="59"/>
      <c r="E15" s="76" t="str">
        <f>Money!B16</f>
        <v>Torben J</v>
      </c>
      <c r="F15" s="77">
        <f>Money!C16</f>
        <v>9890000</v>
      </c>
      <c r="G15" s="59"/>
      <c r="H15" s="74" t="str">
        <f>Puts!B16</f>
        <v>Ole M</v>
      </c>
      <c r="I15" s="78">
        <f>Puts!C16</f>
        <v>35.27777777777778</v>
      </c>
      <c r="J15" s="59"/>
      <c r="K15" s="62" t="str">
        <f>'Samlet Stilling'!O17</f>
        <v>Jan H</v>
      </c>
      <c r="L15" s="66" t="str">
        <f>'Samlet Stilling'!P17</f>
        <v>Haderslev</v>
      </c>
    </row>
    <row r="16" spans="1:12" ht="15" customHeight="1">
      <c r="A16" s="73">
        <v>15</v>
      </c>
      <c r="B16" s="74" t="str">
        <f>Point!B17</f>
        <v>Claus J</v>
      </c>
      <c r="C16" s="75">
        <f>Point!C17</f>
        <v>44</v>
      </c>
      <c r="D16" s="59"/>
      <c r="E16" s="76" t="str">
        <f>Money!B17</f>
        <v>Claus J</v>
      </c>
      <c r="F16" s="77">
        <f>Money!C17</f>
        <v>8470000</v>
      </c>
      <c r="G16" s="59"/>
      <c r="H16" s="74" t="str">
        <f>Puts!B17</f>
        <v>Martin A</v>
      </c>
      <c r="I16" s="78">
        <f>Puts!C17</f>
        <v>35.388888888888886</v>
      </c>
      <c r="J16" s="59"/>
      <c r="K16" s="79"/>
      <c r="L16" s="80"/>
    </row>
    <row r="17" spans="1:12" ht="15" customHeight="1">
      <c r="A17" s="73">
        <v>16</v>
      </c>
      <c r="B17" s="74" t="str">
        <f>Point!B18</f>
        <v>Hans MV</v>
      </c>
      <c r="C17" s="75">
        <f>Point!C18</f>
        <v>38</v>
      </c>
      <c r="D17" s="59"/>
      <c r="E17" s="76" t="str">
        <f>Money!B18</f>
        <v>Finn EC</v>
      </c>
      <c r="F17" s="77">
        <f>Money!C18</f>
        <v>8240000</v>
      </c>
      <c r="G17" s="59"/>
      <c r="H17" s="74" t="str">
        <f>Puts!B18</f>
        <v>Claus J</v>
      </c>
      <c r="I17" s="78">
        <f>Puts!C18</f>
        <v>35.72222222222222</v>
      </c>
      <c r="J17" s="59"/>
      <c r="K17" s="79"/>
      <c r="L17" s="80"/>
    </row>
    <row r="18" spans="1:12" ht="15" customHeight="1">
      <c r="A18" s="73">
        <v>17</v>
      </c>
      <c r="B18" s="74" t="str">
        <f>Point!B19</f>
        <v>Jens L</v>
      </c>
      <c r="C18" s="75">
        <f>Point!C19</f>
        <v>35</v>
      </c>
      <c r="D18" s="59"/>
      <c r="E18" s="76" t="str">
        <f>Money!B19</f>
        <v>Jens L</v>
      </c>
      <c r="F18" s="77">
        <f>Money!C19</f>
        <v>7140000</v>
      </c>
      <c r="G18" s="59"/>
      <c r="H18" s="74" t="str">
        <f>Puts!B19</f>
        <v>Per N</v>
      </c>
      <c r="I18" s="78">
        <f>Puts!C19</f>
        <v>35.833333333333336</v>
      </c>
      <c r="J18" s="59"/>
      <c r="K18" s="79"/>
      <c r="L18" s="80"/>
    </row>
    <row r="19" spans="1:12" ht="15" customHeight="1">
      <c r="A19" s="73">
        <v>18</v>
      </c>
      <c r="B19" s="74" t="str">
        <f>Point!B20</f>
        <v>Finn EC</v>
      </c>
      <c r="C19" s="75">
        <f>Point!C20</f>
        <v>34</v>
      </c>
      <c r="D19" s="59"/>
      <c r="E19" s="76" t="str">
        <f>Money!B20</f>
        <v>Hans MV</v>
      </c>
      <c r="F19" s="77">
        <f>Money!C20</f>
        <v>6540000</v>
      </c>
      <c r="G19" s="59"/>
      <c r="H19" s="74" t="str">
        <f>Puts!B20</f>
        <v>Jens L</v>
      </c>
      <c r="I19" s="78">
        <f>Puts!C20</f>
        <v>35.833333333333336</v>
      </c>
      <c r="J19" s="59"/>
      <c r="K19" s="79"/>
      <c r="L19" s="80"/>
    </row>
    <row r="20" spans="1:12" ht="15" customHeight="1">
      <c r="A20" s="73">
        <v>19</v>
      </c>
      <c r="B20" s="74" t="str">
        <f>Point!B21</f>
        <v>Henning V</v>
      </c>
      <c r="C20" s="75">
        <f>Point!C21</f>
        <v>27</v>
      </c>
      <c r="D20" s="59"/>
      <c r="E20" s="76" t="str">
        <f>Money!B21</f>
        <v>Carsten L</v>
      </c>
      <c r="F20" s="77">
        <f>Money!C21</f>
        <v>5150000</v>
      </c>
      <c r="G20" s="59"/>
      <c r="H20" s="74" t="str">
        <f>Puts!B21</f>
        <v>Henning B</v>
      </c>
      <c r="I20" s="78">
        <f>Puts!C21</f>
        <v>36.111111111111114</v>
      </c>
      <c r="J20" s="59"/>
      <c r="K20" s="79"/>
      <c r="L20" s="80"/>
    </row>
    <row r="21" spans="1:12" ht="15" customHeight="1">
      <c r="A21" s="73">
        <v>20</v>
      </c>
      <c r="B21" s="74" t="str">
        <f>Point!B22</f>
        <v>Ole M</v>
      </c>
      <c r="C21" s="75">
        <f>Point!C22</f>
        <v>25</v>
      </c>
      <c r="D21" s="59"/>
      <c r="E21" s="76" t="str">
        <f>Money!B22</f>
        <v>Henning V</v>
      </c>
      <c r="F21" s="77">
        <f>Money!C22</f>
        <v>5140000</v>
      </c>
      <c r="G21" s="59"/>
      <c r="H21" s="74" t="str">
        <f>Puts!B22</f>
        <v>Finn EC</v>
      </c>
      <c r="I21" s="78">
        <f>Puts!C22</f>
        <v>36.111111111111114</v>
      </c>
      <c r="J21" s="59"/>
      <c r="K21" s="79"/>
      <c r="L21" s="80"/>
    </row>
    <row r="22" spans="1:12" ht="15" customHeight="1">
      <c r="A22" s="73">
        <v>21</v>
      </c>
      <c r="B22" s="74" t="str">
        <f>Point!B23</f>
        <v>Carsten L</v>
      </c>
      <c r="C22" s="75">
        <f>Point!C23</f>
        <v>17</v>
      </c>
      <c r="D22" s="59"/>
      <c r="E22" s="76" t="str">
        <f>Money!B23</f>
        <v>Ole M</v>
      </c>
      <c r="F22" s="77">
        <f>Money!C23</f>
        <v>5040000</v>
      </c>
      <c r="G22" s="59"/>
      <c r="H22" s="74" t="str">
        <f>Puts!B23</f>
        <v>Carsten L</v>
      </c>
      <c r="I22" s="78">
        <f>Puts!C23</f>
        <v>36.333333333333336</v>
      </c>
      <c r="J22" s="59"/>
      <c r="K22" s="79"/>
      <c r="L22" s="80"/>
    </row>
    <row r="23" spans="1:12" ht="15" customHeight="1">
      <c r="A23" s="73">
        <v>22</v>
      </c>
      <c r="B23" s="74" t="str">
        <f>Point!B24</f>
        <v>Per N</v>
      </c>
      <c r="C23" s="75">
        <f>Point!C24</f>
        <v>14</v>
      </c>
      <c r="D23" s="59"/>
      <c r="E23" s="76" t="str">
        <f>Money!B24</f>
        <v>Per N</v>
      </c>
      <c r="F23" s="77">
        <f>Money!C24</f>
        <v>3890000</v>
      </c>
      <c r="G23" s="59"/>
      <c r="H23" s="74" t="str">
        <f>Puts!B24</f>
        <v>Henning V</v>
      </c>
      <c r="I23" s="78">
        <f>Puts!C24</f>
        <v>37</v>
      </c>
      <c r="J23" s="59"/>
      <c r="K23" s="81"/>
      <c r="L23" s="82"/>
    </row>
    <row r="24" spans="1:10" ht="15" customHeight="1">
      <c r="A24" s="73">
        <v>23</v>
      </c>
      <c r="B24" s="74" t="str">
        <f>Point!B25</f>
        <v>Thorkild J</v>
      </c>
      <c r="C24" s="75">
        <f>Point!C25</f>
        <v>10</v>
      </c>
      <c r="D24" s="59"/>
      <c r="E24" s="76" t="str">
        <f>Money!B25</f>
        <v>Thorkild J</v>
      </c>
      <c r="F24" s="77">
        <f>Money!C25</f>
        <v>2670000</v>
      </c>
      <c r="G24" s="59"/>
      <c r="H24" s="74" t="str">
        <f>Puts!B25</f>
        <v>Bo H</v>
      </c>
      <c r="I24" s="78">
        <f>Puts!C25</f>
        <v>37.22222222222222</v>
      </c>
      <c r="J24" s="59"/>
    </row>
    <row r="25" spans="1:10" ht="15" customHeight="1">
      <c r="A25" s="73">
        <v>24</v>
      </c>
      <c r="B25" s="74" t="str">
        <f>Point!B26</f>
        <v>Henning B</v>
      </c>
      <c r="C25" s="75">
        <f>Point!C26</f>
        <v>9</v>
      </c>
      <c r="D25" s="59"/>
      <c r="E25" s="76" t="str">
        <f>Money!B26</f>
        <v>Henning B</v>
      </c>
      <c r="F25" s="77">
        <f>Money!C26</f>
        <v>2050000</v>
      </c>
      <c r="G25" s="59"/>
      <c r="H25" s="74" t="str">
        <f>Puts!B26</f>
        <v>Thorkild J</v>
      </c>
      <c r="I25" s="78">
        <f>Puts!C26</f>
        <v>37.666666666666664</v>
      </c>
      <c r="J25" s="59"/>
    </row>
    <row r="26" spans="1:13" ht="12.75">
      <c r="A26" s="59"/>
      <c r="B26" s="59"/>
      <c r="C26" s="83"/>
      <c r="D26" s="59"/>
      <c r="E26" s="59"/>
      <c r="F26" s="84"/>
      <c r="G26" s="59"/>
      <c r="H26" s="59"/>
      <c r="I26" s="83"/>
      <c r="J26" s="59"/>
      <c r="K26" s="59"/>
      <c r="L26" s="83"/>
      <c r="M26" s="59"/>
    </row>
    <row r="27" spans="1:13" ht="12.75">
      <c r="A27" s="59"/>
      <c r="B27" s="59"/>
      <c r="C27" s="83"/>
      <c r="D27" s="59"/>
      <c r="E27" s="59"/>
      <c r="F27" s="84"/>
      <c r="G27" s="59"/>
      <c r="H27" s="59"/>
      <c r="I27" s="83"/>
      <c r="J27" s="59"/>
      <c r="K27" s="59"/>
      <c r="L27" s="83"/>
      <c r="M27" s="59"/>
    </row>
    <row r="28" spans="1:13" ht="12.75">
      <c r="A28" s="59"/>
      <c r="B28" s="59"/>
      <c r="C28" s="83"/>
      <c r="D28" s="59"/>
      <c r="E28" s="59"/>
      <c r="F28" s="84"/>
      <c r="G28" s="59"/>
      <c r="H28" s="59"/>
      <c r="I28" s="83"/>
      <c r="J28" s="59"/>
      <c r="K28" s="59"/>
      <c r="L28" s="83"/>
      <c r="M28" s="59"/>
    </row>
  </sheetData>
  <sheetProtection selectLockedCells="1" selectUnlockedCells="1"/>
  <mergeCells count="5">
    <mergeCell ref="A1:C1"/>
    <mergeCell ref="E1:F1"/>
    <mergeCell ref="H1:I1"/>
    <mergeCell ref="K1:L1"/>
    <mergeCell ref="K12:L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140" zoomScaleNormal="140" zoomScalePageLayoutView="0" workbookViewId="0" topLeftCell="A1">
      <selection activeCell="E5" sqref="E5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9.140625" style="8" customWidth="1"/>
    <col min="17" max="17" width="9.8515625" style="8" bestFit="1" customWidth="1"/>
    <col min="18" max="16384" width="9.140625" style="8" customWidth="1"/>
  </cols>
  <sheetData>
    <row r="1" spans="2:14" s="88" customFormat="1" ht="43.5" customHeight="1">
      <c r="B1" s="480" t="s">
        <v>184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7" s="88" customFormat="1" ht="29.25" customHeight="1">
      <c r="B2" s="490" t="s">
        <v>195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P2" s="142" t="s">
        <v>99</v>
      </c>
      <c r="Q2" s="142" t="s">
        <v>100</v>
      </c>
    </row>
    <row r="3" spans="1:17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  <c r="P3" s="143">
        <v>27</v>
      </c>
      <c r="Q3" s="90" t="s">
        <v>78</v>
      </c>
    </row>
    <row r="4" spans="1:17" s="113" customFormat="1" ht="18" customHeight="1">
      <c r="A4" s="196" t="s">
        <v>48</v>
      </c>
      <c r="B4" s="307">
        <v>6.8</v>
      </c>
      <c r="C4" s="104">
        <v>56</v>
      </c>
      <c r="D4" s="105">
        <v>27</v>
      </c>
      <c r="E4" s="106" t="s">
        <v>331</v>
      </c>
      <c r="F4" s="104">
        <v>1</v>
      </c>
      <c r="G4" s="104">
        <v>10</v>
      </c>
      <c r="H4" s="107">
        <v>3750000</v>
      </c>
      <c r="I4" s="108">
        <f aca="true" t="shared" si="0" ref="I4:I11">IF(E4&gt;0,$N$13,0)+IF(C4&gt;0,50000,0)+IF(C12&lt;0,50000,0)</f>
        <v>650000</v>
      </c>
      <c r="J4" s="109" t="s">
        <v>88</v>
      </c>
      <c r="K4" s="110"/>
      <c r="L4" s="111"/>
      <c r="M4" s="112">
        <v>10</v>
      </c>
      <c r="N4" s="107">
        <f>N12*25%</f>
        <v>2500000</v>
      </c>
      <c r="P4" s="103">
        <v>40</v>
      </c>
      <c r="Q4" s="90">
        <f>ROUND(P4*18/P3,0)</f>
        <v>27</v>
      </c>
    </row>
    <row r="5" spans="1:17" s="113" customFormat="1" ht="18" customHeight="1">
      <c r="A5" s="196" t="s">
        <v>34</v>
      </c>
      <c r="B5" s="307">
        <v>14.6</v>
      </c>
      <c r="C5" s="104">
        <v>56</v>
      </c>
      <c r="D5" s="105">
        <v>33</v>
      </c>
      <c r="E5" s="106"/>
      <c r="F5" s="104">
        <v>2</v>
      </c>
      <c r="G5" s="104">
        <v>8</v>
      </c>
      <c r="H5" s="107">
        <f aca="true" t="shared" si="1" ref="H5:H11">N5+I5</f>
        <v>2050000</v>
      </c>
      <c r="I5" s="108">
        <f t="shared" si="0"/>
        <v>50000</v>
      </c>
      <c r="J5" s="114" t="s">
        <v>89</v>
      </c>
      <c r="K5" s="115"/>
      <c r="L5" s="116"/>
      <c r="M5" s="117">
        <v>8</v>
      </c>
      <c r="N5" s="107">
        <f>N12*20%</f>
        <v>2000000</v>
      </c>
      <c r="P5" s="103">
        <v>41</v>
      </c>
      <c r="Q5" s="90">
        <f>ROUND(P5*18/P3,0)</f>
        <v>27</v>
      </c>
    </row>
    <row r="6" spans="1:17" s="113" customFormat="1" ht="18" customHeight="1">
      <c r="A6" s="196" t="s">
        <v>333</v>
      </c>
      <c r="B6" s="307">
        <v>11.5</v>
      </c>
      <c r="C6" s="105">
        <v>50</v>
      </c>
      <c r="D6" s="105">
        <v>33</v>
      </c>
      <c r="E6" s="120"/>
      <c r="F6" s="12">
        <v>3</v>
      </c>
      <c r="G6" s="12">
        <v>6</v>
      </c>
      <c r="H6" s="107">
        <f t="shared" si="1"/>
        <v>1550000</v>
      </c>
      <c r="I6" s="108">
        <f t="shared" si="0"/>
        <v>50000</v>
      </c>
      <c r="J6" s="114" t="s">
        <v>90</v>
      </c>
      <c r="K6" s="115"/>
      <c r="L6" s="116"/>
      <c r="M6" s="117">
        <v>6</v>
      </c>
      <c r="N6" s="107">
        <f>N12*15%</f>
        <v>1500000</v>
      </c>
      <c r="P6" s="103">
        <v>42</v>
      </c>
      <c r="Q6" s="90">
        <f>ROUND(P6*18/P3,0)</f>
        <v>28</v>
      </c>
    </row>
    <row r="7" spans="1:17" s="113" customFormat="1" ht="18" customHeight="1">
      <c r="A7" s="196" t="s">
        <v>30</v>
      </c>
      <c r="B7" s="307">
        <v>10.7</v>
      </c>
      <c r="C7" s="104">
        <v>49</v>
      </c>
      <c r="D7" s="105">
        <v>32</v>
      </c>
      <c r="E7" s="120"/>
      <c r="F7" s="104">
        <v>4</v>
      </c>
      <c r="G7" s="104">
        <v>5</v>
      </c>
      <c r="H7" s="107">
        <f t="shared" si="1"/>
        <v>1250000</v>
      </c>
      <c r="I7" s="108">
        <f t="shared" si="0"/>
        <v>50000</v>
      </c>
      <c r="J7" s="114" t="s">
        <v>91</v>
      </c>
      <c r="K7" s="115"/>
      <c r="L7" s="116"/>
      <c r="M7" s="117">
        <v>5</v>
      </c>
      <c r="N7" s="107">
        <f>N12*12%</f>
        <v>1200000</v>
      </c>
      <c r="O7" s="118"/>
      <c r="P7" s="103">
        <v>43</v>
      </c>
      <c r="Q7" s="90">
        <f>ROUND(P7*18/P3,0)</f>
        <v>29</v>
      </c>
    </row>
    <row r="8" spans="1:17" s="113" customFormat="1" ht="18" customHeight="1">
      <c r="A8" s="196" t="s">
        <v>20</v>
      </c>
      <c r="B8" s="307">
        <v>15.4</v>
      </c>
      <c r="C8" s="104">
        <v>48</v>
      </c>
      <c r="D8" s="105">
        <v>30</v>
      </c>
      <c r="E8" s="106">
        <v>6.56</v>
      </c>
      <c r="F8" s="104">
        <v>5</v>
      </c>
      <c r="G8" s="104">
        <v>4</v>
      </c>
      <c r="H8" s="107">
        <f t="shared" si="1"/>
        <v>1650000</v>
      </c>
      <c r="I8" s="108">
        <f t="shared" si="0"/>
        <v>650000</v>
      </c>
      <c r="J8" s="114" t="s">
        <v>92</v>
      </c>
      <c r="K8" s="115"/>
      <c r="L8" s="116"/>
      <c r="M8" s="117">
        <v>4</v>
      </c>
      <c r="N8" s="107">
        <f>N12*10%</f>
        <v>1000000</v>
      </c>
      <c r="P8" s="103">
        <v>44</v>
      </c>
      <c r="Q8" s="90">
        <f>ROUND(P8*18/P3,0)</f>
        <v>29</v>
      </c>
    </row>
    <row r="9" spans="1:17" s="113" customFormat="1" ht="18" customHeight="1">
      <c r="A9" s="196" t="s">
        <v>18</v>
      </c>
      <c r="B9" s="307">
        <v>14.5</v>
      </c>
      <c r="C9" s="104">
        <v>47</v>
      </c>
      <c r="D9" s="105">
        <v>31</v>
      </c>
      <c r="E9" s="106">
        <v>3.3</v>
      </c>
      <c r="F9" s="121">
        <v>6</v>
      </c>
      <c r="G9" s="121">
        <v>3</v>
      </c>
      <c r="H9" s="107">
        <f t="shared" si="1"/>
        <v>1450000</v>
      </c>
      <c r="I9" s="108">
        <f t="shared" si="0"/>
        <v>650000</v>
      </c>
      <c r="J9" s="114" t="s">
        <v>93</v>
      </c>
      <c r="K9" s="115"/>
      <c r="L9" s="116"/>
      <c r="M9" s="117">
        <v>3</v>
      </c>
      <c r="N9" s="107">
        <f>N12*8%</f>
        <v>800000</v>
      </c>
      <c r="P9" s="103">
        <v>45</v>
      </c>
      <c r="Q9" s="90">
        <f>ROUND(P9*18/P3,0)</f>
        <v>30</v>
      </c>
    </row>
    <row r="10" spans="1:17" s="113" customFormat="1" ht="18" customHeight="1">
      <c r="A10" s="196" t="s">
        <v>8</v>
      </c>
      <c r="B10" s="307">
        <v>23.4</v>
      </c>
      <c r="C10" s="105">
        <v>47</v>
      </c>
      <c r="D10" s="105">
        <v>35</v>
      </c>
      <c r="E10" s="106"/>
      <c r="F10" s="104">
        <v>7</v>
      </c>
      <c r="G10" s="104">
        <v>2</v>
      </c>
      <c r="H10" s="107">
        <f t="shared" si="1"/>
        <v>650000</v>
      </c>
      <c r="I10" s="108">
        <f t="shared" si="0"/>
        <v>50000</v>
      </c>
      <c r="J10" s="114" t="s">
        <v>94</v>
      </c>
      <c r="K10" s="115"/>
      <c r="L10" s="116"/>
      <c r="M10" s="117">
        <v>2</v>
      </c>
      <c r="N10" s="107">
        <f>N12*6%</f>
        <v>600000</v>
      </c>
      <c r="P10" s="103">
        <v>46</v>
      </c>
      <c r="Q10" s="90">
        <f>ROUND(P10*18/P3,0)</f>
        <v>31</v>
      </c>
    </row>
    <row r="11" spans="1:17" s="113" customFormat="1" ht="18" customHeight="1">
      <c r="A11" s="196" t="s">
        <v>12</v>
      </c>
      <c r="B11" s="307">
        <v>19</v>
      </c>
      <c r="C11" s="105">
        <v>46</v>
      </c>
      <c r="D11" s="105">
        <v>32</v>
      </c>
      <c r="E11" s="106">
        <v>3.52</v>
      </c>
      <c r="F11" s="104">
        <v>8</v>
      </c>
      <c r="G11" s="104">
        <v>1</v>
      </c>
      <c r="H11" s="107">
        <f t="shared" si="1"/>
        <v>1050000</v>
      </c>
      <c r="I11" s="108">
        <f t="shared" si="0"/>
        <v>650000</v>
      </c>
      <c r="J11" s="114" t="s">
        <v>95</v>
      </c>
      <c r="K11" s="115"/>
      <c r="L11" s="116"/>
      <c r="M11" s="117">
        <v>1</v>
      </c>
      <c r="N11" s="107">
        <f>N12*4%</f>
        <v>400000</v>
      </c>
      <c r="P11" s="103">
        <v>47</v>
      </c>
      <c r="Q11" s="90">
        <f>ROUND(P11*18/P3,0)</f>
        <v>31</v>
      </c>
    </row>
    <row r="12" spans="1:17" s="113" customFormat="1" ht="18" customHeight="1">
      <c r="A12" s="196" t="s">
        <v>26</v>
      </c>
      <c r="B12" s="307">
        <v>22.4</v>
      </c>
      <c r="C12" s="105">
        <v>45</v>
      </c>
      <c r="D12" s="105">
        <v>35</v>
      </c>
      <c r="E12" s="106"/>
      <c r="F12" s="104"/>
      <c r="G12" s="104"/>
      <c r="H12" s="107">
        <f aca="true" t="shared" si="2" ref="H12:H27">I12</f>
        <v>50000</v>
      </c>
      <c r="I12" s="108">
        <f aca="true" t="shared" si="3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10000000</v>
      </c>
      <c r="P12" s="103">
        <v>48</v>
      </c>
      <c r="Q12" s="90">
        <f>ROUND(P12*18/P3,0)</f>
        <v>32</v>
      </c>
    </row>
    <row r="13" spans="1:17" s="113" customFormat="1" ht="18" customHeight="1">
      <c r="A13" s="196" t="s">
        <v>40</v>
      </c>
      <c r="B13" s="307">
        <v>22.4</v>
      </c>
      <c r="C13" s="104">
        <v>44</v>
      </c>
      <c r="D13" s="105">
        <v>39</v>
      </c>
      <c r="E13" s="120"/>
      <c r="F13" s="104"/>
      <c r="G13" s="104"/>
      <c r="H13" s="107">
        <f t="shared" si="2"/>
        <v>50000</v>
      </c>
      <c r="I13" s="108">
        <f t="shared" si="3"/>
        <v>50000</v>
      </c>
      <c r="J13" s="125" t="s">
        <v>97</v>
      </c>
      <c r="K13" s="126"/>
      <c r="L13" s="127"/>
      <c r="M13" s="128">
        <v>1</v>
      </c>
      <c r="N13" s="129">
        <f>N10</f>
        <v>600000</v>
      </c>
      <c r="P13" s="103">
        <v>49</v>
      </c>
      <c r="Q13" s="90">
        <f>ROUND(P13*18/P3,0)</f>
        <v>33</v>
      </c>
    </row>
    <row r="14" spans="1:17" s="113" customFormat="1" ht="18" customHeight="1">
      <c r="A14" s="196" t="s">
        <v>28</v>
      </c>
      <c r="B14" s="307">
        <v>12.4</v>
      </c>
      <c r="C14" s="104">
        <v>43</v>
      </c>
      <c r="D14" s="105">
        <v>33</v>
      </c>
      <c r="E14" s="106"/>
      <c r="F14" s="104"/>
      <c r="G14" s="104"/>
      <c r="H14" s="107">
        <f t="shared" si="2"/>
        <v>50000</v>
      </c>
      <c r="I14" s="108">
        <f t="shared" si="3"/>
        <v>50000</v>
      </c>
      <c r="J14" s="130"/>
      <c r="K14" s="126"/>
      <c r="L14" s="126"/>
      <c r="M14" s="131"/>
      <c r="N14" s="132"/>
      <c r="P14" s="103">
        <v>50</v>
      </c>
      <c r="Q14" s="90">
        <f>ROUND(P14*18/P3,0)</f>
        <v>33</v>
      </c>
    </row>
    <row r="15" spans="1:17" s="113" customFormat="1" ht="18" customHeight="1">
      <c r="A15" s="196" t="s">
        <v>32</v>
      </c>
      <c r="B15" s="307">
        <v>14.2</v>
      </c>
      <c r="C15" s="104">
        <v>43</v>
      </c>
      <c r="D15" s="105">
        <v>36</v>
      </c>
      <c r="E15" s="120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  <c r="P15" s="103">
        <v>51</v>
      </c>
      <c r="Q15" s="90">
        <f>ROUND(P15*18/P3,0)</f>
        <v>34</v>
      </c>
    </row>
    <row r="16" spans="1:17" s="113" customFormat="1" ht="18" customHeight="1">
      <c r="A16" s="196" t="s">
        <v>22</v>
      </c>
      <c r="B16" s="307">
        <v>14.5</v>
      </c>
      <c r="C16" s="105">
        <v>41</v>
      </c>
      <c r="D16" s="105">
        <v>36</v>
      </c>
      <c r="E16" s="106"/>
      <c r="F16" s="12"/>
      <c r="G16" s="12"/>
      <c r="H16" s="107">
        <f t="shared" si="2"/>
        <v>50000</v>
      </c>
      <c r="I16" s="108">
        <f t="shared" si="3"/>
        <v>50000</v>
      </c>
      <c r="P16" s="103">
        <v>52</v>
      </c>
      <c r="Q16" s="90">
        <f>ROUND(P16*18/P3,0)</f>
        <v>35</v>
      </c>
    </row>
    <row r="17" spans="1:17" s="113" customFormat="1" ht="18" customHeight="1">
      <c r="A17" s="196" t="s">
        <v>42</v>
      </c>
      <c r="B17" s="307">
        <v>16.4</v>
      </c>
      <c r="C17" s="104">
        <v>41</v>
      </c>
      <c r="D17" s="105">
        <v>37</v>
      </c>
      <c r="E17" s="120"/>
      <c r="F17" s="12"/>
      <c r="G17" s="12"/>
      <c r="H17" s="107">
        <f t="shared" si="2"/>
        <v>50000</v>
      </c>
      <c r="I17" s="108">
        <f t="shared" si="3"/>
        <v>50000</v>
      </c>
      <c r="O17" s="118"/>
      <c r="P17" s="103">
        <v>53</v>
      </c>
      <c r="Q17" s="90">
        <f>ROUND(P17*18/P3,0)</f>
        <v>35</v>
      </c>
    </row>
    <row r="18" spans="1:17" s="113" customFormat="1" ht="18" customHeight="1">
      <c r="A18" s="196" t="s">
        <v>10</v>
      </c>
      <c r="B18" s="307">
        <v>15.2</v>
      </c>
      <c r="C18" s="104">
        <v>38</v>
      </c>
      <c r="D18" s="105">
        <v>39</v>
      </c>
      <c r="E18" s="106">
        <v>16.34</v>
      </c>
      <c r="F18" s="104"/>
      <c r="G18" s="104"/>
      <c r="H18" s="107">
        <f t="shared" si="2"/>
        <v>650000</v>
      </c>
      <c r="I18" s="108">
        <f t="shared" si="3"/>
        <v>650000</v>
      </c>
      <c r="J18" s="8"/>
      <c r="K18" s="8"/>
      <c r="L18" s="8"/>
      <c r="M18" s="8"/>
      <c r="N18" s="8"/>
      <c r="O18" s="119"/>
      <c r="P18" s="103">
        <v>54</v>
      </c>
      <c r="Q18" s="90">
        <f>ROUND(P18*18/P3,0)</f>
        <v>36</v>
      </c>
    </row>
    <row r="19" spans="1:17" s="113" customFormat="1" ht="18" customHeight="1">
      <c r="A19" s="196" t="s">
        <v>16</v>
      </c>
      <c r="B19" s="307">
        <v>19.5</v>
      </c>
      <c r="C19" s="12">
        <v>29</v>
      </c>
      <c r="D19" s="105">
        <v>41</v>
      </c>
      <c r="E19" s="120"/>
      <c r="F19" s="104"/>
      <c r="G19" s="104"/>
      <c r="H19" s="107">
        <f t="shared" si="2"/>
        <v>50000</v>
      </c>
      <c r="I19" s="108">
        <f t="shared" si="3"/>
        <v>50000</v>
      </c>
      <c r="J19" s="8"/>
      <c r="K19" s="8"/>
      <c r="L19" s="8"/>
      <c r="M19" s="8"/>
      <c r="N19" s="8"/>
      <c r="O19" s="119"/>
      <c r="P19" s="103">
        <v>55</v>
      </c>
      <c r="Q19" s="90">
        <f>ROUND(P19*18/P3,0)</f>
        <v>37</v>
      </c>
    </row>
    <row r="20" spans="1:17" s="88" customFormat="1" ht="18" customHeight="1">
      <c r="A20" s="196" t="s">
        <v>14</v>
      </c>
      <c r="B20" s="307">
        <v>10.7</v>
      </c>
      <c r="C20" s="104">
        <v>14</v>
      </c>
      <c r="D20" s="105">
        <v>38</v>
      </c>
      <c r="E20" s="106" t="s">
        <v>330</v>
      </c>
      <c r="F20" s="12"/>
      <c r="G20" s="12"/>
      <c r="H20" s="107">
        <v>1250000</v>
      </c>
      <c r="I20" s="108">
        <f t="shared" si="3"/>
        <v>650000</v>
      </c>
      <c r="J20" s="8"/>
      <c r="K20" s="8"/>
      <c r="L20" s="8"/>
      <c r="M20" s="8"/>
      <c r="N20" s="8"/>
      <c r="P20" s="103">
        <v>56</v>
      </c>
      <c r="Q20" s="90">
        <f>ROUND(P20*18/P3,0)</f>
        <v>37</v>
      </c>
    </row>
    <row r="21" spans="1:17" s="88" customFormat="1" ht="18" customHeight="1">
      <c r="A21" s="196"/>
      <c r="B21" s="307"/>
      <c r="C21" s="104"/>
      <c r="D21" s="105"/>
      <c r="E21" s="106"/>
      <c r="F21" s="12"/>
      <c r="G21" s="12"/>
      <c r="H21" s="107">
        <f t="shared" si="2"/>
        <v>0</v>
      </c>
      <c r="I21" s="108">
        <f t="shared" si="3"/>
        <v>0</v>
      </c>
      <c r="J21" s="8"/>
      <c r="K21" s="8"/>
      <c r="L21" s="8"/>
      <c r="M21" s="8"/>
      <c r="N21" s="8"/>
      <c r="P21" s="103">
        <v>57</v>
      </c>
      <c r="Q21" s="90">
        <f>ROUND(P21*18/P3,0)</f>
        <v>38</v>
      </c>
    </row>
    <row r="22" spans="1:17" s="88" customFormat="1" ht="18" customHeight="1">
      <c r="A22" s="196"/>
      <c r="B22" s="307"/>
      <c r="C22" s="124"/>
      <c r="D22" s="105"/>
      <c r="E22" s="106"/>
      <c r="F22" s="12"/>
      <c r="G22" s="12"/>
      <c r="H22" s="107">
        <f t="shared" si="2"/>
        <v>0</v>
      </c>
      <c r="I22" s="108">
        <f t="shared" si="3"/>
        <v>0</v>
      </c>
      <c r="J22" s="8"/>
      <c r="K22" s="8"/>
      <c r="L22" s="8"/>
      <c r="M22" s="8"/>
      <c r="N22" s="8"/>
      <c r="P22" s="103">
        <v>58</v>
      </c>
      <c r="Q22" s="90">
        <f>ROUND(P22*18/P3,0)</f>
        <v>39</v>
      </c>
    </row>
    <row r="23" spans="1:17" s="88" customFormat="1" ht="18" customHeight="1">
      <c r="A23" s="196"/>
      <c r="B23" s="307"/>
      <c r="C23" s="104"/>
      <c r="D23" s="105"/>
      <c r="E23" s="106"/>
      <c r="F23" s="12"/>
      <c r="G23" s="12"/>
      <c r="H23" s="107">
        <f t="shared" si="2"/>
        <v>0</v>
      </c>
      <c r="I23" s="108">
        <f t="shared" si="3"/>
        <v>0</v>
      </c>
      <c r="J23" s="8"/>
      <c r="K23" s="8"/>
      <c r="L23" s="8"/>
      <c r="M23" s="8"/>
      <c r="N23" s="8"/>
      <c r="P23" s="103">
        <v>59</v>
      </c>
      <c r="Q23" s="90">
        <f>ROUND(P23*18/P3,0)</f>
        <v>39</v>
      </c>
    </row>
    <row r="24" spans="1:17" s="88" customFormat="1" ht="18" customHeight="1">
      <c r="A24" s="196"/>
      <c r="B24" s="307"/>
      <c r="C24" s="104"/>
      <c r="D24" s="105"/>
      <c r="E24" s="106"/>
      <c r="F24" s="12"/>
      <c r="G24" s="12"/>
      <c r="H24" s="107">
        <f t="shared" si="2"/>
        <v>0</v>
      </c>
      <c r="I24" s="108">
        <f t="shared" si="3"/>
        <v>0</v>
      </c>
      <c r="J24" s="8"/>
      <c r="K24" s="8"/>
      <c r="L24" s="8"/>
      <c r="M24" s="8"/>
      <c r="N24" s="8"/>
      <c r="P24" s="103">
        <v>60</v>
      </c>
      <c r="Q24" s="90">
        <f>ROUND(P24*18/P3,0)</f>
        <v>40</v>
      </c>
    </row>
    <row r="25" spans="1:17" s="88" customFormat="1" ht="18" customHeight="1">
      <c r="A25" s="196"/>
      <c r="B25" s="307"/>
      <c r="C25" s="104"/>
      <c r="D25" s="105"/>
      <c r="E25" s="120"/>
      <c r="F25" s="12"/>
      <c r="G25" s="12"/>
      <c r="H25" s="107">
        <f t="shared" si="2"/>
        <v>0</v>
      </c>
      <c r="I25" s="108">
        <f t="shared" si="3"/>
        <v>0</v>
      </c>
      <c r="J25" s="8"/>
      <c r="K25" s="8"/>
      <c r="L25" s="8"/>
      <c r="M25" s="8"/>
      <c r="N25" s="8"/>
      <c r="P25" s="103">
        <v>61</v>
      </c>
      <c r="Q25" s="90">
        <f>ROUND(P25*18/P3,0)</f>
        <v>41</v>
      </c>
    </row>
    <row r="26" spans="1:17" s="88" customFormat="1" ht="18" customHeight="1">
      <c r="A26" s="196"/>
      <c r="B26" s="240"/>
      <c r="C26" s="104"/>
      <c r="D26" s="105"/>
      <c r="E26" s="106"/>
      <c r="F26" s="104"/>
      <c r="G26" s="104"/>
      <c r="H26" s="107">
        <f t="shared" si="2"/>
        <v>0</v>
      </c>
      <c r="I26" s="108">
        <f t="shared" si="3"/>
        <v>0</v>
      </c>
      <c r="J26" s="8"/>
      <c r="K26" s="8"/>
      <c r="L26" s="8"/>
      <c r="M26" s="8"/>
      <c r="N26" s="8"/>
      <c r="P26" s="103">
        <v>62</v>
      </c>
      <c r="Q26" s="90">
        <f>ROUND(P26*18/P3,0)</f>
        <v>41</v>
      </c>
    </row>
    <row r="27" spans="1:14" s="88" customFormat="1" ht="18" customHeight="1">
      <c r="A27" s="196"/>
      <c r="B27" s="240"/>
      <c r="C27" s="105"/>
      <c r="D27" s="137"/>
      <c r="E27" s="120"/>
      <c r="F27" s="104"/>
      <c r="G27" s="104"/>
      <c r="H27" s="107">
        <f t="shared" si="2"/>
        <v>0</v>
      </c>
      <c r="I27" s="108">
        <f t="shared" si="3"/>
        <v>0</v>
      </c>
      <c r="J27" s="8"/>
      <c r="K27" s="8"/>
      <c r="L27" s="8"/>
      <c r="M27" s="8"/>
      <c r="N27" s="8"/>
    </row>
    <row r="28" spans="1:9" ht="24" customHeight="1" thickBot="1">
      <c r="A28" s="1"/>
      <c r="B28" s="3"/>
      <c r="C28" s="138"/>
      <c r="D28" s="139">
        <f>SUM(D4:D27)</f>
        <v>587</v>
      </c>
      <c r="E28" s="138"/>
      <c r="F28" s="3"/>
      <c r="G28" s="140">
        <f>SUM(G4:G27)</f>
        <v>39</v>
      </c>
      <c r="H28" s="140">
        <f>SUM(H4:H27)</f>
        <v>15650000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7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5.140625" style="85" customWidth="1"/>
    <col min="2" max="2" width="7.8515625" style="86" customWidth="1"/>
    <col min="3" max="3" width="8.421875" style="87" customWidth="1"/>
    <col min="4" max="4" width="6.8515625" style="86" customWidth="1"/>
    <col min="5" max="5" width="8.140625" style="86" customWidth="1"/>
    <col min="6" max="6" width="10.140625" style="86" customWidth="1"/>
    <col min="7" max="7" width="9.140625" style="86" customWidth="1"/>
    <col min="8" max="8" width="13.421875" style="86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88" customFormat="1" ht="43.5" customHeight="1">
      <c r="B1" s="480" t="s">
        <v>192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2:17" s="88" customFormat="1" ht="29.25" customHeight="1">
      <c r="B2" s="490" t="s">
        <v>201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P2" s="142" t="s">
        <v>99</v>
      </c>
      <c r="Q2" s="142" t="s">
        <v>100</v>
      </c>
    </row>
    <row r="3" spans="1:17" s="102" customFormat="1" ht="27" customHeight="1">
      <c r="A3" s="91" t="s">
        <v>79</v>
      </c>
      <c r="B3" s="92" t="s">
        <v>80</v>
      </c>
      <c r="C3" s="92" t="s">
        <v>81</v>
      </c>
      <c r="D3" s="92" t="s">
        <v>82</v>
      </c>
      <c r="E3" s="92" t="s">
        <v>83</v>
      </c>
      <c r="F3" s="93" t="s">
        <v>84</v>
      </c>
      <c r="G3" s="94" t="s">
        <v>85</v>
      </c>
      <c r="H3" s="95" t="s">
        <v>86</v>
      </c>
      <c r="I3" s="96"/>
      <c r="J3" s="97" t="s">
        <v>84</v>
      </c>
      <c r="K3" s="98"/>
      <c r="L3" s="99"/>
      <c r="M3" s="100" t="s">
        <v>85</v>
      </c>
      <c r="N3" s="101" t="s">
        <v>87</v>
      </c>
      <c r="P3" s="143">
        <v>9</v>
      </c>
      <c r="Q3" s="90" t="s">
        <v>78</v>
      </c>
    </row>
    <row r="4" spans="1:17" s="113" customFormat="1" ht="18" customHeight="1">
      <c r="A4" s="196" t="s">
        <v>8</v>
      </c>
      <c r="B4" s="307">
        <v>23.4</v>
      </c>
      <c r="C4" s="105">
        <v>18</v>
      </c>
      <c r="D4" s="105">
        <v>36</v>
      </c>
      <c r="E4" s="106"/>
      <c r="F4" s="104">
        <v>1</v>
      </c>
      <c r="G4" s="104">
        <v>10</v>
      </c>
      <c r="H4" s="107">
        <f aca="true" t="shared" si="0" ref="H4:H11">N4+I4</f>
        <v>2300000</v>
      </c>
      <c r="I4" s="108">
        <f aca="true" t="shared" si="1" ref="I4:I11">IF(E4&gt;0,$N$13,0)+IF(C4&gt;0,50000,0)+IF(C12&lt;0,50000,0)</f>
        <v>50000</v>
      </c>
      <c r="J4" s="109" t="s">
        <v>88</v>
      </c>
      <c r="K4" s="110"/>
      <c r="L4" s="111"/>
      <c r="M4" s="112">
        <v>10</v>
      </c>
      <c r="N4" s="107">
        <f>N12*25%</f>
        <v>2250000</v>
      </c>
      <c r="P4" s="103">
        <v>12</v>
      </c>
      <c r="Q4" s="90">
        <f>ROUND(P4*18/P3,0)</f>
        <v>24</v>
      </c>
    </row>
    <row r="5" spans="1:17" s="113" customFormat="1" ht="18" customHeight="1">
      <c r="A5" s="196" t="s">
        <v>42</v>
      </c>
      <c r="B5" s="307">
        <v>16.4</v>
      </c>
      <c r="C5" s="104">
        <v>17</v>
      </c>
      <c r="D5" s="105">
        <v>34</v>
      </c>
      <c r="E5" s="106"/>
      <c r="F5" s="104">
        <v>2</v>
      </c>
      <c r="G5" s="104">
        <v>8</v>
      </c>
      <c r="H5" s="107">
        <f t="shared" si="0"/>
        <v>1850000</v>
      </c>
      <c r="I5" s="108">
        <f t="shared" si="1"/>
        <v>50000</v>
      </c>
      <c r="J5" s="114" t="s">
        <v>89</v>
      </c>
      <c r="K5" s="115"/>
      <c r="L5" s="116"/>
      <c r="M5" s="117">
        <v>8</v>
      </c>
      <c r="N5" s="107">
        <f>N12*20%</f>
        <v>1800000</v>
      </c>
      <c r="P5" s="103">
        <v>13</v>
      </c>
      <c r="Q5" s="90">
        <f>ROUND(P5*18/P3,0)</f>
        <v>26</v>
      </c>
    </row>
    <row r="6" spans="1:17" s="113" customFormat="1" ht="18" customHeight="1">
      <c r="A6" s="196" t="s">
        <v>16</v>
      </c>
      <c r="B6" s="307">
        <v>19.5</v>
      </c>
      <c r="C6" s="12">
        <v>17</v>
      </c>
      <c r="D6" s="105">
        <v>36</v>
      </c>
      <c r="E6" s="106"/>
      <c r="F6" s="12">
        <v>3</v>
      </c>
      <c r="G6" s="12">
        <v>6</v>
      </c>
      <c r="H6" s="107">
        <f t="shared" si="0"/>
        <v>1400000</v>
      </c>
      <c r="I6" s="108">
        <f t="shared" si="1"/>
        <v>50000</v>
      </c>
      <c r="J6" s="114" t="s">
        <v>90</v>
      </c>
      <c r="K6" s="115"/>
      <c r="L6" s="116"/>
      <c r="M6" s="117">
        <v>6</v>
      </c>
      <c r="N6" s="107">
        <f>N12*15%</f>
        <v>1350000</v>
      </c>
      <c r="P6" s="103">
        <v>14</v>
      </c>
      <c r="Q6" s="90">
        <f>ROUND(P6*18/P3,0)</f>
        <v>28</v>
      </c>
    </row>
    <row r="7" spans="1:17" s="113" customFormat="1" ht="18" customHeight="1">
      <c r="A7" s="196" t="s">
        <v>333</v>
      </c>
      <c r="B7" s="307">
        <v>11.5</v>
      </c>
      <c r="C7" s="104">
        <v>16</v>
      </c>
      <c r="D7" s="124">
        <v>36</v>
      </c>
      <c r="E7" s="120"/>
      <c r="F7" s="104">
        <v>4</v>
      </c>
      <c r="G7" s="104">
        <v>5</v>
      </c>
      <c r="H7" s="107">
        <f t="shared" si="0"/>
        <v>1130000</v>
      </c>
      <c r="I7" s="108">
        <f t="shared" si="1"/>
        <v>50000</v>
      </c>
      <c r="J7" s="114" t="s">
        <v>91</v>
      </c>
      <c r="K7" s="115"/>
      <c r="L7" s="116"/>
      <c r="M7" s="117">
        <v>5</v>
      </c>
      <c r="N7" s="107">
        <f>N12*12%</f>
        <v>1080000</v>
      </c>
      <c r="O7" s="118"/>
      <c r="P7" s="103">
        <v>15</v>
      </c>
      <c r="Q7" s="90">
        <f>ROUND(P7*18/P3,0)</f>
        <v>30</v>
      </c>
    </row>
    <row r="8" spans="1:17" s="113" customFormat="1" ht="18" customHeight="1">
      <c r="A8" s="196" t="s">
        <v>28</v>
      </c>
      <c r="B8" s="307">
        <v>12.4</v>
      </c>
      <c r="C8" s="104">
        <v>16</v>
      </c>
      <c r="D8" s="105">
        <v>30</v>
      </c>
      <c r="E8" s="106">
        <v>0.86</v>
      </c>
      <c r="F8" s="104">
        <v>5</v>
      </c>
      <c r="G8" s="104">
        <v>4</v>
      </c>
      <c r="H8" s="107">
        <f t="shared" si="0"/>
        <v>1490000</v>
      </c>
      <c r="I8" s="108">
        <f t="shared" si="1"/>
        <v>590000</v>
      </c>
      <c r="J8" s="114" t="s">
        <v>92</v>
      </c>
      <c r="K8" s="115"/>
      <c r="L8" s="116"/>
      <c r="M8" s="117">
        <v>4</v>
      </c>
      <c r="N8" s="107">
        <f>N12*10%</f>
        <v>900000</v>
      </c>
      <c r="P8" s="103">
        <v>16</v>
      </c>
      <c r="Q8" s="90">
        <f>ROUND(P8*18/P3,0)</f>
        <v>32</v>
      </c>
    </row>
    <row r="9" spans="1:17" s="113" customFormat="1" ht="18" customHeight="1">
      <c r="A9" s="196" t="s">
        <v>52</v>
      </c>
      <c r="B9" s="307">
        <v>13.4</v>
      </c>
      <c r="C9" s="105">
        <v>15</v>
      </c>
      <c r="D9" s="124">
        <v>30</v>
      </c>
      <c r="E9" s="120"/>
      <c r="F9" s="121">
        <v>6</v>
      </c>
      <c r="G9" s="121">
        <v>3</v>
      </c>
      <c r="H9" s="107">
        <f t="shared" si="0"/>
        <v>770000</v>
      </c>
      <c r="I9" s="108">
        <f t="shared" si="1"/>
        <v>50000</v>
      </c>
      <c r="J9" s="114" t="s">
        <v>93</v>
      </c>
      <c r="K9" s="115"/>
      <c r="L9" s="116"/>
      <c r="M9" s="117">
        <v>3</v>
      </c>
      <c r="N9" s="107">
        <f>N12*8%</f>
        <v>720000</v>
      </c>
      <c r="P9" s="103">
        <v>17</v>
      </c>
      <c r="Q9" s="90">
        <f>ROUND(P9*18/P3,0)</f>
        <v>34</v>
      </c>
    </row>
    <row r="10" spans="1:17" s="113" customFormat="1" ht="18" customHeight="1">
      <c r="A10" s="196" t="s">
        <v>48</v>
      </c>
      <c r="B10" s="307">
        <v>6.8</v>
      </c>
      <c r="C10" s="104">
        <v>14</v>
      </c>
      <c r="D10" s="105">
        <v>38</v>
      </c>
      <c r="E10" s="106"/>
      <c r="F10" s="104">
        <v>7</v>
      </c>
      <c r="G10" s="104">
        <v>2</v>
      </c>
      <c r="H10" s="107">
        <f t="shared" si="0"/>
        <v>590000</v>
      </c>
      <c r="I10" s="108">
        <f t="shared" si="1"/>
        <v>50000</v>
      </c>
      <c r="J10" s="114" t="s">
        <v>94</v>
      </c>
      <c r="K10" s="115"/>
      <c r="L10" s="116"/>
      <c r="M10" s="117">
        <v>2</v>
      </c>
      <c r="N10" s="107">
        <f>N12*6%</f>
        <v>540000</v>
      </c>
      <c r="P10" s="103">
        <v>18</v>
      </c>
      <c r="Q10" s="90">
        <f>ROUND(P10*18/P3,0)</f>
        <v>36</v>
      </c>
    </row>
    <row r="11" spans="1:17" s="113" customFormat="1" ht="18" customHeight="1">
      <c r="A11" s="196" t="s">
        <v>32</v>
      </c>
      <c r="B11" s="307">
        <v>14.2</v>
      </c>
      <c r="C11" s="104">
        <v>14</v>
      </c>
      <c r="D11" s="105">
        <v>36</v>
      </c>
      <c r="E11" s="106"/>
      <c r="F11" s="104">
        <v>8</v>
      </c>
      <c r="G11" s="104">
        <v>1</v>
      </c>
      <c r="H11" s="107">
        <f t="shared" si="0"/>
        <v>410000</v>
      </c>
      <c r="I11" s="108">
        <f t="shared" si="1"/>
        <v>50000</v>
      </c>
      <c r="J11" s="114" t="s">
        <v>95</v>
      </c>
      <c r="K11" s="115"/>
      <c r="L11" s="116"/>
      <c r="M11" s="117">
        <v>1</v>
      </c>
      <c r="N11" s="107">
        <f>N12*4%</f>
        <v>360000</v>
      </c>
      <c r="P11" s="103">
        <v>19</v>
      </c>
      <c r="Q11" s="90">
        <f>ROUND(P11*18/P3,0)</f>
        <v>38</v>
      </c>
    </row>
    <row r="12" spans="1:17" s="113" customFormat="1" ht="18" customHeight="1">
      <c r="A12" s="196" t="s">
        <v>18</v>
      </c>
      <c r="B12" s="307">
        <v>14.5</v>
      </c>
      <c r="C12" s="104">
        <v>14</v>
      </c>
      <c r="D12" s="105">
        <v>36</v>
      </c>
      <c r="E12" s="106"/>
      <c r="F12" s="104"/>
      <c r="G12" s="104"/>
      <c r="H12" s="107">
        <f aca="true" t="shared" si="2" ref="H12:H27">I12</f>
        <v>50000</v>
      </c>
      <c r="I12" s="108">
        <f aca="true" t="shared" si="3" ref="I12:I27">IF(E12&gt;0,$N$13,0)+IF(C12&gt;0,50000,0)+IF(C12&lt;0,50000,0)</f>
        <v>50000</v>
      </c>
      <c r="J12" s="122" t="s">
        <v>96</v>
      </c>
      <c r="K12" s="115"/>
      <c r="L12" s="116"/>
      <c r="M12" s="117"/>
      <c r="N12" s="123">
        <v>9000000</v>
      </c>
      <c r="P12" s="103">
        <v>20</v>
      </c>
      <c r="Q12" s="90">
        <f>ROUND(P12*18/P3,0)</f>
        <v>40</v>
      </c>
    </row>
    <row r="13" spans="1:17" s="113" customFormat="1" ht="18" customHeight="1">
      <c r="A13" s="196" t="s">
        <v>46</v>
      </c>
      <c r="B13" s="307">
        <v>19.6</v>
      </c>
      <c r="C13" s="104">
        <v>14</v>
      </c>
      <c r="D13" s="105">
        <v>42</v>
      </c>
      <c r="E13" s="106"/>
      <c r="F13" s="104"/>
      <c r="G13" s="104"/>
      <c r="H13" s="107">
        <f t="shared" si="2"/>
        <v>50000</v>
      </c>
      <c r="I13" s="108">
        <f t="shared" si="3"/>
        <v>50000</v>
      </c>
      <c r="J13" s="125" t="s">
        <v>97</v>
      </c>
      <c r="K13" s="126"/>
      <c r="L13" s="127"/>
      <c r="M13" s="128">
        <v>1</v>
      </c>
      <c r="N13" s="129">
        <f>N10</f>
        <v>540000</v>
      </c>
      <c r="P13" s="103">
        <v>21</v>
      </c>
      <c r="Q13" s="90">
        <f>ROUND(P13*18/P3,0)</f>
        <v>42</v>
      </c>
    </row>
    <row r="14" spans="1:17" s="113" customFormat="1" ht="18" customHeight="1">
      <c r="A14" s="196" t="s">
        <v>30</v>
      </c>
      <c r="B14" s="307">
        <v>10.7</v>
      </c>
      <c r="C14" s="104">
        <v>13</v>
      </c>
      <c r="D14" s="105">
        <v>38</v>
      </c>
      <c r="E14" s="120"/>
      <c r="F14" s="104"/>
      <c r="G14" s="104"/>
      <c r="H14" s="107">
        <f t="shared" si="2"/>
        <v>50000</v>
      </c>
      <c r="I14" s="108">
        <f t="shared" si="3"/>
        <v>50000</v>
      </c>
      <c r="J14" s="130"/>
      <c r="K14" s="126"/>
      <c r="L14" s="126"/>
      <c r="M14" s="131"/>
      <c r="N14" s="132"/>
      <c r="P14" s="103">
        <v>22</v>
      </c>
      <c r="Q14" s="90">
        <f>ROUND(P14*18/P3,0)</f>
        <v>44</v>
      </c>
    </row>
    <row r="15" spans="1:17" s="113" customFormat="1" ht="18" customHeight="1">
      <c r="A15" s="196" t="s">
        <v>12</v>
      </c>
      <c r="B15" s="307">
        <v>19</v>
      </c>
      <c r="C15" s="105">
        <v>13</v>
      </c>
      <c r="D15" s="105">
        <v>34</v>
      </c>
      <c r="E15" s="120"/>
      <c r="F15" s="104"/>
      <c r="G15" s="104"/>
      <c r="H15" s="107">
        <f t="shared" si="2"/>
        <v>50000</v>
      </c>
      <c r="I15" s="108">
        <f t="shared" si="3"/>
        <v>50000</v>
      </c>
      <c r="J15" s="133"/>
      <c r="K15" s="134"/>
      <c r="L15" s="134"/>
      <c r="M15" s="135"/>
      <c r="N15" s="136"/>
      <c r="P15" s="103">
        <v>23</v>
      </c>
      <c r="Q15" s="90">
        <f>ROUND(P15*18/P3,0)</f>
        <v>46</v>
      </c>
    </row>
    <row r="16" spans="1:17" s="113" customFormat="1" ht="18" customHeight="1">
      <c r="A16" s="196" t="s">
        <v>34</v>
      </c>
      <c r="B16" s="307">
        <v>14.6</v>
      </c>
      <c r="C16" s="104">
        <v>10</v>
      </c>
      <c r="D16" s="105">
        <v>38</v>
      </c>
      <c r="E16" s="120"/>
      <c r="F16" s="12"/>
      <c r="G16" s="12"/>
      <c r="H16" s="107">
        <f t="shared" si="2"/>
        <v>50000</v>
      </c>
      <c r="I16" s="108">
        <f t="shared" si="3"/>
        <v>50000</v>
      </c>
      <c r="P16" s="103">
        <v>24</v>
      </c>
      <c r="Q16" s="90">
        <f>ROUND(P16*18/P3,0)</f>
        <v>48</v>
      </c>
    </row>
    <row r="17" spans="1:17" s="113" customFormat="1" ht="18" customHeight="1">
      <c r="A17" s="196" t="s">
        <v>10</v>
      </c>
      <c r="B17" s="307">
        <v>15.2</v>
      </c>
      <c r="C17" s="104">
        <v>10</v>
      </c>
      <c r="D17" s="105">
        <v>38</v>
      </c>
      <c r="E17" s="106"/>
      <c r="F17" s="12"/>
      <c r="G17" s="12"/>
      <c r="H17" s="107">
        <f t="shared" si="2"/>
        <v>50000</v>
      </c>
      <c r="I17" s="108">
        <f t="shared" si="3"/>
        <v>50000</v>
      </c>
      <c r="O17" s="118"/>
      <c r="P17" s="103">
        <v>25</v>
      </c>
      <c r="Q17" s="90">
        <f>ROUND(P17*18/P3,0)</f>
        <v>50</v>
      </c>
    </row>
    <row r="18" spans="1:17" s="113" customFormat="1" ht="18" customHeight="1">
      <c r="A18" s="196" t="s">
        <v>40</v>
      </c>
      <c r="B18" s="307">
        <v>22.4</v>
      </c>
      <c r="C18" s="105">
        <v>9</v>
      </c>
      <c r="D18" s="105">
        <v>44</v>
      </c>
      <c r="E18" s="106"/>
      <c r="F18" s="104"/>
      <c r="G18" s="104"/>
      <c r="H18" s="107">
        <f t="shared" si="2"/>
        <v>50000</v>
      </c>
      <c r="I18" s="108">
        <f t="shared" si="3"/>
        <v>50000</v>
      </c>
      <c r="J18" s="8"/>
      <c r="K18" s="8"/>
      <c r="L18" s="8"/>
      <c r="M18" s="8"/>
      <c r="N18" s="8"/>
      <c r="O18" s="119"/>
      <c r="P18" s="103">
        <v>26</v>
      </c>
      <c r="Q18" s="90">
        <f>ROUND(P18*18/P3,0)</f>
        <v>52</v>
      </c>
    </row>
    <row r="19" spans="1:17" s="113" customFormat="1" ht="18" customHeight="1">
      <c r="A19" s="196"/>
      <c r="B19" s="307"/>
      <c r="C19" s="104"/>
      <c r="D19" s="105"/>
      <c r="E19" s="120"/>
      <c r="F19" s="104"/>
      <c r="G19" s="104"/>
      <c r="H19" s="107">
        <f t="shared" si="2"/>
        <v>0</v>
      </c>
      <c r="I19" s="108">
        <f t="shared" si="3"/>
        <v>0</v>
      </c>
      <c r="J19" s="8"/>
      <c r="K19" s="8"/>
      <c r="L19" s="8"/>
      <c r="M19" s="8"/>
      <c r="N19" s="8"/>
      <c r="O19" s="119"/>
      <c r="P19" s="103">
        <v>27</v>
      </c>
      <c r="Q19" s="90">
        <f>ROUND(P19*18/P3,0)</f>
        <v>54</v>
      </c>
    </row>
    <row r="20" spans="1:17" s="88" customFormat="1" ht="18" customHeight="1">
      <c r="A20" s="196"/>
      <c r="B20" s="307"/>
      <c r="C20" s="124"/>
      <c r="D20" s="105"/>
      <c r="E20" s="106"/>
      <c r="F20" s="12"/>
      <c r="G20" s="12"/>
      <c r="H20" s="107">
        <f t="shared" si="2"/>
        <v>0</v>
      </c>
      <c r="I20" s="108">
        <f t="shared" si="3"/>
        <v>0</v>
      </c>
      <c r="J20" s="8"/>
      <c r="K20" s="8"/>
      <c r="L20" s="8"/>
      <c r="M20" s="8"/>
      <c r="N20" s="8"/>
      <c r="P20" s="103">
        <v>28</v>
      </c>
      <c r="Q20" s="90">
        <f>ROUND(P20*18/P3,0)</f>
        <v>56</v>
      </c>
    </row>
    <row r="21" spans="1:17" s="88" customFormat="1" ht="18" customHeight="1">
      <c r="A21" s="196"/>
      <c r="B21" s="307"/>
      <c r="C21" s="105"/>
      <c r="D21" s="105"/>
      <c r="E21" s="106"/>
      <c r="F21" s="12"/>
      <c r="G21" s="12"/>
      <c r="H21" s="107">
        <f t="shared" si="2"/>
        <v>0</v>
      </c>
      <c r="I21" s="108">
        <f t="shared" si="3"/>
        <v>0</v>
      </c>
      <c r="J21" s="8"/>
      <c r="K21" s="8"/>
      <c r="L21" s="8"/>
      <c r="M21" s="8"/>
      <c r="N21" s="8"/>
      <c r="P21" s="103">
        <v>29</v>
      </c>
      <c r="Q21" s="90">
        <f>ROUND(P21*18/P3,0)</f>
        <v>58</v>
      </c>
    </row>
    <row r="22" spans="1:17" s="88" customFormat="1" ht="18" customHeight="1">
      <c r="A22" s="196"/>
      <c r="B22" s="307"/>
      <c r="C22" s="104"/>
      <c r="D22" s="105"/>
      <c r="E22" s="120"/>
      <c r="F22" s="12"/>
      <c r="G22" s="12"/>
      <c r="H22" s="107">
        <f t="shared" si="2"/>
        <v>0</v>
      </c>
      <c r="I22" s="108">
        <f t="shared" si="3"/>
        <v>0</v>
      </c>
      <c r="J22" s="8"/>
      <c r="K22" s="8"/>
      <c r="L22" s="8"/>
      <c r="M22" s="8"/>
      <c r="N22" s="8"/>
      <c r="P22" s="103">
        <v>30</v>
      </c>
      <c r="Q22" s="90">
        <f>ROUND(P22*18/P3,0)</f>
        <v>60</v>
      </c>
    </row>
    <row r="23" spans="1:17" s="88" customFormat="1" ht="18" customHeight="1">
      <c r="A23" s="196"/>
      <c r="B23" s="307"/>
      <c r="C23" s="105"/>
      <c r="D23" s="105"/>
      <c r="E23" s="106"/>
      <c r="F23" s="12"/>
      <c r="G23" s="12"/>
      <c r="H23" s="107">
        <f t="shared" si="2"/>
        <v>0</v>
      </c>
      <c r="I23" s="108">
        <f t="shared" si="3"/>
        <v>0</v>
      </c>
      <c r="J23" s="8"/>
      <c r="K23" s="8"/>
      <c r="L23" s="8"/>
      <c r="M23" s="8"/>
      <c r="N23" s="8"/>
      <c r="P23" s="103">
        <v>31</v>
      </c>
      <c r="Q23" s="90">
        <f>ROUND(P23*18/P3,0)</f>
        <v>62</v>
      </c>
    </row>
    <row r="24" spans="1:17" s="88" customFormat="1" ht="18" customHeight="1">
      <c r="A24" s="196"/>
      <c r="B24" s="307"/>
      <c r="C24" s="104"/>
      <c r="D24" s="137" t="s">
        <v>98</v>
      </c>
      <c r="E24" s="106"/>
      <c r="F24" s="12"/>
      <c r="G24" s="12"/>
      <c r="H24" s="107">
        <f t="shared" si="2"/>
        <v>0</v>
      </c>
      <c r="I24" s="108">
        <f t="shared" si="3"/>
        <v>0</v>
      </c>
      <c r="J24" s="8"/>
      <c r="K24" s="8"/>
      <c r="L24" s="8"/>
      <c r="M24" s="8"/>
      <c r="N24" s="8"/>
      <c r="P24" s="103">
        <v>32</v>
      </c>
      <c r="Q24" s="90">
        <f>ROUND(P24*18/P3,0)</f>
        <v>64</v>
      </c>
    </row>
    <row r="25" spans="1:14" s="88" customFormat="1" ht="18" customHeight="1">
      <c r="A25" s="196"/>
      <c r="B25" s="307"/>
      <c r="C25" s="104"/>
      <c r="D25" s="105"/>
      <c r="E25" s="106"/>
      <c r="F25" s="12"/>
      <c r="G25" s="12"/>
      <c r="H25" s="107">
        <f t="shared" si="2"/>
        <v>0</v>
      </c>
      <c r="I25" s="108">
        <f t="shared" si="3"/>
        <v>0</v>
      </c>
      <c r="J25" s="8"/>
      <c r="K25" s="8"/>
      <c r="L25" s="8"/>
      <c r="M25" s="8"/>
      <c r="N25" s="8"/>
    </row>
    <row r="26" spans="1:14" s="88" customFormat="1" ht="18" customHeight="1">
      <c r="A26" s="196"/>
      <c r="B26" s="307"/>
      <c r="C26" s="104"/>
      <c r="D26" s="105"/>
      <c r="E26" s="120"/>
      <c r="F26" s="104"/>
      <c r="G26" s="104"/>
      <c r="H26" s="107">
        <f t="shared" si="2"/>
        <v>0</v>
      </c>
      <c r="I26" s="108">
        <f t="shared" si="3"/>
        <v>0</v>
      </c>
      <c r="J26" s="8"/>
      <c r="K26" s="8"/>
      <c r="L26" s="8"/>
      <c r="M26" s="8"/>
      <c r="N26" s="8"/>
    </row>
    <row r="27" spans="1:14" s="88" customFormat="1" ht="18" customHeight="1">
      <c r="A27" s="196"/>
      <c r="B27" s="307"/>
      <c r="C27" s="104"/>
      <c r="D27" s="105"/>
      <c r="E27" s="106"/>
      <c r="F27" s="104"/>
      <c r="G27" s="104"/>
      <c r="H27" s="107">
        <f t="shared" si="2"/>
        <v>0</v>
      </c>
      <c r="I27" s="108">
        <f t="shared" si="3"/>
        <v>0</v>
      </c>
      <c r="J27" s="8"/>
      <c r="K27" s="8"/>
      <c r="L27" s="8"/>
      <c r="M27" s="8"/>
      <c r="N27" s="8"/>
    </row>
    <row r="28" spans="1:9" ht="24" customHeight="1" thickBot="1">
      <c r="A28" s="1"/>
      <c r="B28" s="3"/>
      <c r="C28" s="138"/>
      <c r="D28" s="139">
        <f>SUM(D4:D27)</f>
        <v>546</v>
      </c>
      <c r="E28" s="138"/>
      <c r="F28" s="3"/>
      <c r="G28" s="140">
        <f>SUM(G4:G27)</f>
        <v>39</v>
      </c>
      <c r="H28" s="140">
        <f>SUM(H4:H27)</f>
        <v>10290000</v>
      </c>
      <c r="I28" s="141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Jakob Kristensen</cp:lastModifiedBy>
  <cp:lastPrinted>2015-10-14T07:58:44Z</cp:lastPrinted>
  <dcterms:created xsi:type="dcterms:W3CDTF">2013-09-23T23:59:48Z</dcterms:created>
  <dcterms:modified xsi:type="dcterms:W3CDTF">2015-10-17T09:08:09Z</dcterms:modified>
  <cp:category/>
  <cp:version/>
  <cp:contentType/>
  <cp:contentStatus/>
</cp:coreProperties>
</file>