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KMM/Documents/Inngolf/InnGolf 2018/"/>
    </mc:Choice>
  </mc:AlternateContent>
  <xr:revisionPtr revIDLastSave="0" documentId="13_ncr:1_{07CA4A38-F9B6-7046-A17D-B911A48AC4F6}" xr6:coauthVersionLast="37" xr6:coauthVersionMax="37" xr10:uidLastSave="{00000000-0000-0000-0000-000000000000}"/>
  <bookViews>
    <workbookView xWindow="400" yWindow="900" windowWidth="23360" windowHeight="26480" xr2:uid="{6E1D9372-242C-3343-B869-2A8BD2ABB4A1}"/>
  </bookViews>
  <sheets>
    <sheet name="Samlet Stilling" sheetId="1" r:id="rId1"/>
    <sheet name="Medlemmer" sheetId="2" r:id="rId2"/>
    <sheet name="Money" sheetId="3" r:id="rId3"/>
    <sheet name="Point" sheetId="4" r:id="rId4"/>
    <sheet name="Putts" sheetId="5" r:id="rId5"/>
    <sheet name="Tæt-flag" sheetId="6" r:id="rId6"/>
    <sheet name="06-10" sheetId="48" r:id="rId7"/>
    <sheet name="04-10" sheetId="49" r:id="rId8"/>
    <sheet name="27-09" sheetId="8" r:id="rId9"/>
    <sheet name="20-09" sheetId="9" r:id="rId10"/>
    <sheet name="13-09" sheetId="55" r:id="rId11"/>
    <sheet name="09-09" sheetId="13" r:id="rId12"/>
    <sheet name="08-09" sheetId="54" r:id="rId13"/>
    <sheet name="06-09" sheetId="12" r:id="rId14"/>
    <sheet name="30-08" sheetId="16" r:id="rId15"/>
    <sheet name="23-08" sheetId="15" r:id="rId16"/>
    <sheet name="16-08" sheetId="17" r:id="rId17"/>
    <sheet name="09-08" sheetId="18" r:id="rId18"/>
    <sheet name="02-08" sheetId="19" r:id="rId19"/>
    <sheet name="26-07" sheetId="20" r:id="rId20"/>
    <sheet name="19-07" sheetId="22" r:id="rId21"/>
    <sheet name="12-07" sheetId="21" r:id="rId22"/>
    <sheet name="05-07" sheetId="23" r:id="rId23"/>
    <sheet name="28-06" sheetId="25" r:id="rId24"/>
    <sheet name="21-06" sheetId="24" r:id="rId25"/>
    <sheet name="14-06" sheetId="26" r:id="rId26"/>
    <sheet name="07-06" sheetId="27" r:id="rId27"/>
    <sheet name="02-06b" sheetId="30" r:id="rId28"/>
    <sheet name="02-06a" sheetId="31" r:id="rId29"/>
    <sheet name="31-05" sheetId="28" r:id="rId30"/>
    <sheet name="24-05" sheetId="29" r:id="rId31"/>
    <sheet name="17-05" sheetId="32" r:id="rId32"/>
    <sheet name="10-05" sheetId="33" r:id="rId33"/>
    <sheet name="03-05" sheetId="34" r:id="rId34"/>
    <sheet name="26-04" sheetId="35" r:id="rId35"/>
    <sheet name="19-04" sheetId="36" r:id="rId36"/>
    <sheet name="12-04" sheetId="39" r:id="rId37"/>
    <sheet name="05-04" sheetId="38" r:id="rId38"/>
    <sheet name="29-03" sheetId="53" r:id="rId39"/>
    <sheet name="Tourplan m. sløjfer" sheetId="50" r:id="rId40"/>
    <sheet name="Starttider" sheetId="44" r:id="rId41"/>
    <sheet name="Bødekassen" sheetId="52" r:id="rId42"/>
    <sheet name="Vindere" sheetId="45" r:id="rId43"/>
  </sheets>
  <externalReferences>
    <externalReference r:id="rId44"/>
  </externalReferences>
  <definedNames>
    <definedName name="_xlnm._FilterDatabase" localSheetId="34" hidden="1">'26-04'!$A$3:$E$3</definedName>
    <definedName name="_xlnm._FilterDatabase" localSheetId="41" hidden="1">Bødekassen!$B$2:$AF$2</definedName>
    <definedName name="_xlnm._FilterDatabase" localSheetId="2" hidden="1">Money!$A$2:$AJ$27</definedName>
    <definedName name="_xlnm._FilterDatabase" localSheetId="3" hidden="1">Point!$A$2:$AN$2</definedName>
    <definedName name="_xlnm._FilterDatabase" localSheetId="4" hidden="1">Putts!$A$2:$AO$2</definedName>
    <definedName name="_xlnm._FilterDatabase" localSheetId="40" hidden="1">Starttider!$O$32:$O$54</definedName>
    <definedName name="_xlnm._FilterDatabase" localSheetId="5" hidden="1">'Tæt-flag'!$B$2:$E$3</definedName>
    <definedName name="Excel_BuiltIn__FilterDatabase_1">'Samlet Stilling'!$D$2:$D$29</definedName>
    <definedName name="Excel_BuiltIn__FilterDatabase_10">'[1]THE FINAL'!$A$10:$G$14</definedName>
    <definedName name="Excel_BuiltIn__FilterDatabase_11">#REF!</definedName>
    <definedName name="Excel_BuiltIn__FilterDatabase_12">'06-09'!$A$10:$H$14</definedName>
    <definedName name="Excel_BuiltIn__FilterDatabase_13" localSheetId="12">'08-09'!$A$10:$H$14</definedName>
    <definedName name="Excel_BuiltIn__FilterDatabase_13">'09-09'!$A$10:$H$14</definedName>
    <definedName name="Excel_BuiltIn__FilterDatabase_14" localSheetId="10">#REF!</definedName>
    <definedName name="Excel_BuiltIn__FilterDatabase_14">#REF!</definedName>
    <definedName name="Excel_BuiltIn__FilterDatabase_15">'23-08'!$A$10:$H$14</definedName>
    <definedName name="Excel_BuiltIn__FilterDatabase_16">'30-08'!$A$10:$H$14</definedName>
    <definedName name="Excel_BuiltIn__FilterDatabase_17">'16-08'!$A$10:$H$14</definedName>
    <definedName name="Excel_BuiltIn__FilterDatabase_18">'09-08'!$A$10:$H$14</definedName>
    <definedName name="Excel_BuiltIn__FilterDatabase_19">'02-08'!$A$10:$H$14</definedName>
    <definedName name="Excel_BuiltIn__FilterDatabase_20">'26-07'!$A$10:$H$14</definedName>
    <definedName name="Excel_BuiltIn__FilterDatabase_21">'12-07'!$A$10:$H$14</definedName>
    <definedName name="Excel_BuiltIn__FilterDatabase_22">'19-07'!$A$10:$H$14</definedName>
    <definedName name="Excel_BuiltIn__FilterDatabase_23">'05-07'!$A$10:$H$14</definedName>
    <definedName name="Excel_BuiltIn__FilterDatabase_24">'21-06'!$A$10:$H$14</definedName>
    <definedName name="Excel_BuiltIn__FilterDatabase_25">'28-06'!$A$10:$H$14</definedName>
    <definedName name="Excel_BuiltIn__FilterDatabase_26">'14-06'!$A$10:$H$14</definedName>
    <definedName name="Excel_BuiltIn__FilterDatabase_27">'07-06'!$A$10:$H$14</definedName>
    <definedName name="Excel_BuiltIn__FilterDatabase_28">'31-05'!$A$10:$H$14</definedName>
    <definedName name="Excel_BuiltIn__FilterDatabase_29">'24-05'!$A$10:$H$14</definedName>
    <definedName name="Excel_BuiltIn__FilterDatabase_3">Money!$C$2:$C$22</definedName>
    <definedName name="Excel_BuiltIn__FilterDatabase_30">'02-06b'!$A$10:$H$14</definedName>
    <definedName name="Excel_BuiltIn__FilterDatabase_31">'02-06a'!$A$10:$H$14</definedName>
    <definedName name="Excel_BuiltIn__FilterDatabase_32">'17-05'!$A$10:$H$14</definedName>
    <definedName name="Excel_BuiltIn__FilterDatabase_33">'10-05'!$A$10:$H$14</definedName>
    <definedName name="Excel_BuiltIn__FilterDatabase_34">'03-05'!$A$10:$H$14</definedName>
    <definedName name="Excel_BuiltIn__FilterDatabase_35">'26-04'!$A$10:$H$14</definedName>
    <definedName name="Excel_BuiltIn__FilterDatabase_36">'19-04'!$A$10:$H$14</definedName>
    <definedName name="Excel_BuiltIn__FilterDatabase_37" localSheetId="10">#REF!</definedName>
    <definedName name="Excel_BuiltIn__FilterDatabase_37">#REF!</definedName>
    <definedName name="Excel_BuiltIn__FilterDatabase_38">'05-04'!$A$10:$H$14</definedName>
    <definedName name="Excel_BuiltIn__FilterDatabase_39" localSheetId="38">'29-03'!$A$10:$H$14</definedName>
    <definedName name="Excel_BuiltIn__FilterDatabase_39">'12-04'!$A$10:$H$14</definedName>
    <definedName name="Excel_BuiltIn__FilterDatabase_4">Point!$C$2:$C$27</definedName>
    <definedName name="Excel_BuiltIn__FilterDatabase_40" localSheetId="10">#REF!</definedName>
    <definedName name="Excel_BuiltIn__FilterDatabase_40">#REF!</definedName>
    <definedName name="Excel_BuiltIn__FilterDatabase_41" localSheetId="10">#REF!</definedName>
    <definedName name="Excel_BuiltIn__FilterDatabase_41">#REF!</definedName>
    <definedName name="Excel_BuiltIn__FilterDatabase_42" localSheetId="10">#REF!</definedName>
    <definedName name="Excel_BuiltIn__FilterDatabase_42">#REF!</definedName>
    <definedName name="Excel_BuiltIn__FilterDatabase_5" localSheetId="41">Bødekassen!$B$3:$AF$26</definedName>
    <definedName name="Excel_BuiltIn__FilterDatabase_5">Putts!$B$3:$T$27</definedName>
    <definedName name="Excel_BuiltIn__FilterDatabase_6">'Tæt-flag'!$C$2:$C$31</definedName>
    <definedName name="Excel_BuiltIn__FilterDatabase_8" localSheetId="7">'04-10'!$A$10:$H$14</definedName>
    <definedName name="Excel_BuiltIn__FilterDatabase_8" localSheetId="6">'06-10'!$A$10:$H$14</definedName>
    <definedName name="Excel_BuiltIn__FilterDatabase_8">'27-09'!$A$10:$H$14</definedName>
    <definedName name="Excel_BuiltIn__FilterDatabase_9" localSheetId="10">'13-09'!$A$10:$H$14</definedName>
    <definedName name="Excel_BuiltIn__FilterDatabase_9">'20-09'!$A$10:$H$14</definedName>
    <definedName name="_xlnm.Print_Area" localSheetId="28">'02-06a'!$A$1:$O$28</definedName>
    <definedName name="_xlnm.Print_Area" localSheetId="27">'02-06b'!$A$1:$O$28</definedName>
    <definedName name="_xlnm.Print_Area" localSheetId="18">'02-08'!$A$1:$O$29</definedName>
    <definedName name="_xlnm.Print_Area" localSheetId="33">'03-05'!$A$1:$O$28</definedName>
    <definedName name="_xlnm.Print_Area" localSheetId="37">'05-04'!$A$1:$O$29</definedName>
    <definedName name="_xlnm.Print_Area" localSheetId="22">'05-07'!$A$1:$O$29</definedName>
    <definedName name="_xlnm.Print_Area" localSheetId="13">'06-09'!$A$1:$O$29</definedName>
    <definedName name="_xlnm.Print_Area" localSheetId="26">'07-06'!$A$1:$O$29</definedName>
    <definedName name="_xlnm.Print_Area" localSheetId="12">'08-09'!$A$1:$O$28</definedName>
    <definedName name="_xlnm.Print_Area" localSheetId="17">'09-08'!$A$1:$O$29</definedName>
    <definedName name="_xlnm.Print_Area" localSheetId="11">'09-09'!$A$1:$O$29</definedName>
    <definedName name="_xlnm.Print_Area" localSheetId="32">'10-05'!$A$1:$O$29</definedName>
    <definedName name="_xlnm.Print_Area" localSheetId="36">'12-04'!$A$1:$O$29</definedName>
    <definedName name="_xlnm.Print_Area" localSheetId="21">'12-07'!$A$1:$O$29</definedName>
    <definedName name="_xlnm.Print_Area" localSheetId="25">'14-06'!$A$1:$O$29</definedName>
    <definedName name="_xlnm.Print_Area" localSheetId="16">'16-08'!$A$1:$O$29</definedName>
    <definedName name="_xlnm.Print_Area" localSheetId="31">'17-05'!$A$1:$O$29</definedName>
    <definedName name="_xlnm.Print_Area" localSheetId="35">'19-04'!$A$1:$O$29</definedName>
    <definedName name="_xlnm.Print_Area" localSheetId="20">'19-07'!$A$1:$O$29</definedName>
    <definedName name="_xlnm.Print_Area" localSheetId="24">'21-06'!$A$1:$N$29</definedName>
    <definedName name="_xlnm.Print_Area" localSheetId="15">'23-08'!$A$1:$O$29</definedName>
    <definedName name="_xlnm.Print_Area" localSheetId="30">'24-05'!$A$1:$O$29</definedName>
    <definedName name="_xlnm.Print_Area" localSheetId="34">'26-04'!$A$1:$O$29</definedName>
    <definedName name="_xlnm.Print_Area" localSheetId="19">'26-07'!$A$1:$O$29</definedName>
    <definedName name="_xlnm.Print_Area" localSheetId="23">'28-06'!$A$1:$O$28</definedName>
    <definedName name="_xlnm.Print_Area" localSheetId="38">'29-03'!$A$1:$O$29</definedName>
    <definedName name="_xlnm.Print_Area" localSheetId="14">'30-08'!$A$1:$O$29</definedName>
    <definedName name="_xlnm.Print_Area" localSheetId="29">'31-05'!$A$1:$O$29</definedName>
    <definedName name="_xlnm.Print_Area" localSheetId="41">Bødekassen!$A$1:$AF$28</definedName>
    <definedName name="_xlnm.Print_Area" localSheetId="2">Money!$B$1:$AJ$29</definedName>
    <definedName name="_xlnm.Print_Area" localSheetId="3">Point!$B$1:$AL$30</definedName>
    <definedName name="_xlnm.Print_Area" localSheetId="4">Putts!$A$1:$V$32</definedName>
    <definedName name="_xlnm.Print_Area" localSheetId="5">'Tæt-flag'!$B$1:$I$27</definedName>
  </definedNames>
  <calcPr calcId="179021"/>
</workbook>
</file>

<file path=xl/calcChain.xml><?xml version="1.0" encoding="utf-8"?>
<calcChain xmlns="http://schemas.openxmlformats.org/spreadsheetml/2006/main">
  <c r="F27" i="45" l="1"/>
  <c r="D27" i="45"/>
  <c r="F26" i="45"/>
  <c r="D26" i="45"/>
  <c r="F25" i="45"/>
  <c r="D25" i="45"/>
  <c r="F24" i="45"/>
  <c r="D24" i="45"/>
  <c r="H5" i="9" l="1"/>
  <c r="H6" i="9"/>
  <c r="H7" i="9"/>
  <c r="H8" i="9"/>
  <c r="H9" i="9"/>
  <c r="H10" i="9"/>
  <c r="H11" i="9"/>
  <c r="Q29" i="55" l="1"/>
  <c r="G29" i="55"/>
  <c r="D29" i="55"/>
  <c r="Q28" i="55"/>
  <c r="I28" i="55"/>
  <c r="H28" i="55"/>
  <c r="Q27" i="55"/>
  <c r="I27" i="55"/>
  <c r="H27" i="55" s="1"/>
  <c r="Q26" i="55"/>
  <c r="I26" i="55"/>
  <c r="H26" i="55" s="1"/>
  <c r="Q25" i="55"/>
  <c r="I25" i="55"/>
  <c r="H25" i="55" s="1"/>
  <c r="Q24" i="55"/>
  <c r="I24" i="55"/>
  <c r="H24" i="55" s="1"/>
  <c r="Q23" i="55"/>
  <c r="I23" i="55"/>
  <c r="H23" i="55" s="1"/>
  <c r="Q22" i="55"/>
  <c r="I22" i="55"/>
  <c r="H22" i="55" s="1"/>
  <c r="Q21" i="55"/>
  <c r="I21" i="55"/>
  <c r="H21" i="55" s="1"/>
  <c r="Q20" i="55"/>
  <c r="I20" i="55"/>
  <c r="H20" i="55" s="1"/>
  <c r="Q19" i="55"/>
  <c r="I19" i="55"/>
  <c r="H19" i="55"/>
  <c r="Q18" i="55"/>
  <c r="I18" i="55"/>
  <c r="H18" i="55" s="1"/>
  <c r="Q17" i="55"/>
  <c r="I17" i="55"/>
  <c r="H17" i="55" s="1"/>
  <c r="Q16" i="55"/>
  <c r="I16" i="55"/>
  <c r="H16" i="55" s="1"/>
  <c r="Q15" i="55"/>
  <c r="I15" i="55"/>
  <c r="H15" i="55" s="1"/>
  <c r="Q14" i="55"/>
  <c r="I14" i="55"/>
  <c r="H14" i="55" s="1"/>
  <c r="Q13" i="55"/>
  <c r="I13" i="55"/>
  <c r="H13" i="55" s="1"/>
  <c r="Q12" i="55"/>
  <c r="I12" i="55"/>
  <c r="H12" i="55" s="1"/>
  <c r="Q11" i="55"/>
  <c r="N11" i="55"/>
  <c r="I11" i="55"/>
  <c r="Q10" i="55"/>
  <c r="N10" i="55"/>
  <c r="N13" i="55" s="1"/>
  <c r="I10" i="55" s="1"/>
  <c r="H10" i="55" s="1"/>
  <c r="Q9" i="55"/>
  <c r="N9" i="55"/>
  <c r="I9" i="55"/>
  <c r="Q8" i="55"/>
  <c r="N8" i="55"/>
  <c r="I8" i="55"/>
  <c r="Q7" i="55"/>
  <c r="N7" i="55"/>
  <c r="I7" i="55"/>
  <c r="Q6" i="55"/>
  <c r="N6" i="55"/>
  <c r="I6" i="55"/>
  <c r="H6" i="55" s="1"/>
  <c r="Q5" i="55"/>
  <c r="N5" i="55"/>
  <c r="I5" i="55"/>
  <c r="Q4" i="55"/>
  <c r="N4" i="55"/>
  <c r="I4" i="55"/>
  <c r="H8" i="55" l="1"/>
  <c r="H11" i="55"/>
  <c r="H9" i="55"/>
  <c r="H7" i="55"/>
  <c r="H5" i="55"/>
  <c r="H4" i="55"/>
  <c r="H11" i="12"/>
  <c r="H13" i="12"/>
  <c r="H29" i="55" l="1"/>
  <c r="F23" i="45"/>
  <c r="D23" i="45"/>
  <c r="F22" i="45"/>
  <c r="F21" i="45"/>
  <c r="D21" i="45"/>
  <c r="B23" i="45"/>
  <c r="F20" i="45"/>
  <c r="D20" i="45"/>
  <c r="F15" i="45"/>
  <c r="D15" i="45"/>
  <c r="F19" i="45"/>
  <c r="D19" i="45"/>
  <c r="F18" i="45"/>
  <c r="D18" i="45"/>
  <c r="D17" i="45"/>
  <c r="F16" i="45"/>
  <c r="D16" i="45"/>
  <c r="G29" i="15" l="1"/>
  <c r="D29" i="15"/>
  <c r="I28" i="15"/>
  <c r="H28" i="15" s="1"/>
  <c r="I27" i="15"/>
  <c r="H27" i="15" s="1"/>
  <c r="I26" i="15"/>
  <c r="H26" i="15" s="1"/>
  <c r="I25" i="15"/>
  <c r="H25" i="15" s="1"/>
  <c r="I24" i="15"/>
  <c r="H24" i="15" s="1"/>
  <c r="I23" i="15"/>
  <c r="N22" i="15"/>
  <c r="I22" i="15"/>
  <c r="H22" i="15" s="1"/>
  <c r="N21" i="15"/>
  <c r="I21" i="15"/>
  <c r="H21" i="15" s="1"/>
  <c r="N20" i="15"/>
  <c r="I20" i="15"/>
  <c r="H20" i="15" s="1"/>
  <c r="N19" i="15"/>
  <c r="I19" i="15"/>
  <c r="I18" i="15"/>
  <c r="H18" i="15" s="1"/>
  <c r="I17" i="15"/>
  <c r="H17" i="15" s="1"/>
  <c r="I16" i="15"/>
  <c r="H16" i="15" s="1"/>
  <c r="I15" i="15"/>
  <c r="I14" i="15"/>
  <c r="H14" i="15" s="1"/>
  <c r="I13" i="15"/>
  <c r="H13" i="15" s="1"/>
  <c r="I12" i="15"/>
  <c r="H12" i="15" s="1"/>
  <c r="N11" i="15"/>
  <c r="I11" i="15"/>
  <c r="N10" i="15"/>
  <c r="N13" i="15" s="1"/>
  <c r="I10" i="15"/>
  <c r="N9" i="15"/>
  <c r="I9" i="15"/>
  <c r="N8" i="15"/>
  <c r="N7" i="15"/>
  <c r="I7" i="15"/>
  <c r="N6" i="15"/>
  <c r="I6" i="15"/>
  <c r="N5" i="15"/>
  <c r="I5" i="15"/>
  <c r="N4" i="15"/>
  <c r="I4" i="15"/>
  <c r="N27" i="15" l="1"/>
  <c r="N28" i="15"/>
  <c r="H29" i="15"/>
  <c r="I27" i="17"/>
  <c r="H27" i="17" s="1"/>
  <c r="H27" i="23" l="1"/>
  <c r="F6" i="45" l="1"/>
  <c r="D6" i="45"/>
  <c r="D14" i="45"/>
  <c r="F13" i="45"/>
  <c r="D13" i="45"/>
  <c r="F12" i="45"/>
  <c r="D12" i="45"/>
  <c r="F11" i="45"/>
  <c r="D11" i="45"/>
  <c r="H23" i="27" l="1"/>
  <c r="D10" i="45" l="1"/>
  <c r="X29" i="3" l="1"/>
  <c r="Y28" i="4"/>
  <c r="Z28" i="4"/>
  <c r="I24" i="31"/>
  <c r="AA29" i="3" l="1"/>
  <c r="G5" i="45" l="1"/>
  <c r="F5" i="45"/>
  <c r="G4" i="45"/>
  <c r="F4" i="45"/>
  <c r="H26" i="39" l="1"/>
  <c r="O17" i="1" l="1"/>
  <c r="P17" i="1"/>
  <c r="N10" i="49"/>
  <c r="N13" i="49" s="1"/>
  <c r="I13" i="49"/>
  <c r="H13" i="49" s="1"/>
  <c r="I14" i="49"/>
  <c r="H14" i="49" s="1"/>
  <c r="I15" i="49"/>
  <c r="H15" i="49" s="1"/>
  <c r="I16" i="49"/>
  <c r="H16" i="49" s="1"/>
  <c r="N5" i="49"/>
  <c r="I5" i="49"/>
  <c r="N6" i="49"/>
  <c r="I6" i="49"/>
  <c r="N7" i="49"/>
  <c r="I7" i="49"/>
  <c r="N9" i="49"/>
  <c r="I9" i="49"/>
  <c r="I10" i="49"/>
  <c r="N11" i="49"/>
  <c r="I11" i="49"/>
  <c r="I27" i="49"/>
  <c r="H27" i="49"/>
  <c r="I27" i="48"/>
  <c r="H27" i="48" s="1"/>
  <c r="B27" i="45"/>
  <c r="B29" i="45"/>
  <c r="I25" i="8"/>
  <c r="H25" i="8" s="1"/>
  <c r="I26" i="9"/>
  <c r="H26" i="9" s="1"/>
  <c r="Q29" i="9"/>
  <c r="Q28" i="9"/>
  <c r="Q27" i="9"/>
  <c r="I25" i="12"/>
  <c r="H25" i="12" s="1"/>
  <c r="I5" i="12"/>
  <c r="N5" i="12"/>
  <c r="I6" i="12"/>
  <c r="N6" i="12"/>
  <c r="I7" i="12"/>
  <c r="H7" i="12" s="1"/>
  <c r="N7" i="12"/>
  <c r="I8" i="12"/>
  <c r="N8" i="12"/>
  <c r="N10" i="12"/>
  <c r="N13" i="12" s="1"/>
  <c r="I9" i="12" s="1"/>
  <c r="N9" i="12"/>
  <c r="I10" i="12"/>
  <c r="H10" i="12" s="1"/>
  <c r="I11" i="12"/>
  <c r="I5" i="54"/>
  <c r="N10" i="54"/>
  <c r="N13" i="54" s="1"/>
  <c r="N4" i="54"/>
  <c r="J28" i="5"/>
  <c r="I4" i="13"/>
  <c r="N10" i="13"/>
  <c r="I14" i="13"/>
  <c r="H14" i="13" s="1"/>
  <c r="I16" i="13"/>
  <c r="H16" i="13" s="1"/>
  <c r="I17" i="13"/>
  <c r="H17" i="13" s="1"/>
  <c r="I18" i="13"/>
  <c r="H18" i="13" s="1"/>
  <c r="I19" i="13"/>
  <c r="H19" i="13" s="1"/>
  <c r="I20" i="13"/>
  <c r="H20" i="13" s="1"/>
  <c r="I21" i="13"/>
  <c r="H21" i="13" s="1"/>
  <c r="I22" i="13"/>
  <c r="H22" i="13" s="1"/>
  <c r="I23" i="13"/>
  <c r="H23" i="13" s="1"/>
  <c r="I24" i="13"/>
  <c r="H24" i="13" s="1"/>
  <c r="I25" i="13"/>
  <c r="H25" i="13" s="1"/>
  <c r="I26" i="13"/>
  <c r="H26" i="13" s="1"/>
  <c r="I27" i="13"/>
  <c r="H27" i="13" s="1"/>
  <c r="I28" i="13"/>
  <c r="H28" i="13" s="1"/>
  <c r="I5" i="13"/>
  <c r="H5" i="13" s="1"/>
  <c r="N5" i="13"/>
  <c r="N6" i="13"/>
  <c r="I7" i="13"/>
  <c r="N7" i="13"/>
  <c r="N8" i="13"/>
  <c r="I9" i="13"/>
  <c r="H9" i="13" s="1"/>
  <c r="N9" i="13"/>
  <c r="I10" i="13"/>
  <c r="I11" i="13"/>
  <c r="N11" i="13"/>
  <c r="I14" i="54"/>
  <c r="H14" i="54" s="1"/>
  <c r="I15" i="54"/>
  <c r="H15" i="54" s="1"/>
  <c r="I17" i="54"/>
  <c r="H17" i="54" s="1"/>
  <c r="I18" i="54"/>
  <c r="H18" i="54" s="1"/>
  <c r="I19" i="54"/>
  <c r="H19" i="54" s="1"/>
  <c r="I20" i="54"/>
  <c r="H20" i="54" s="1"/>
  <c r="I21" i="54"/>
  <c r="H21" i="54" s="1"/>
  <c r="I22" i="54"/>
  <c r="H22" i="54" s="1"/>
  <c r="I23" i="54"/>
  <c r="H23" i="54" s="1"/>
  <c r="I24" i="54"/>
  <c r="H24" i="54" s="1"/>
  <c r="I25" i="54"/>
  <c r="H25" i="54" s="1"/>
  <c r="I26" i="54"/>
  <c r="H26" i="54" s="1"/>
  <c r="I27" i="54"/>
  <c r="H27" i="54" s="1"/>
  <c r="N5" i="54"/>
  <c r="I6" i="54"/>
  <c r="N6" i="54"/>
  <c r="I7" i="54"/>
  <c r="N7" i="54"/>
  <c r="I8" i="54"/>
  <c r="N8" i="54"/>
  <c r="I9" i="54"/>
  <c r="N9" i="54"/>
  <c r="I10" i="54"/>
  <c r="N11" i="54"/>
  <c r="G28" i="54"/>
  <c r="D28" i="54"/>
  <c r="H26" i="16"/>
  <c r="I25" i="18"/>
  <c r="H25" i="18" s="1"/>
  <c r="I24" i="19"/>
  <c r="H24" i="19" s="1"/>
  <c r="N6" i="19"/>
  <c r="I7" i="19"/>
  <c r="N7" i="19"/>
  <c r="N8" i="19"/>
  <c r="N9" i="19"/>
  <c r="I10" i="19"/>
  <c r="N10" i="19"/>
  <c r="I11" i="19"/>
  <c r="H11" i="19" s="1"/>
  <c r="N11" i="19"/>
  <c r="I26" i="20"/>
  <c r="H26" i="20" s="1"/>
  <c r="H25" i="22"/>
  <c r="I25" i="21"/>
  <c r="H25" i="21"/>
  <c r="I4" i="21"/>
  <c r="H4" i="21" s="1"/>
  <c r="N4" i="21"/>
  <c r="I5" i="21"/>
  <c r="H5" i="21" s="1"/>
  <c r="N5" i="21"/>
  <c r="N10" i="21"/>
  <c r="N13" i="21" s="1"/>
  <c r="I18" i="21" s="1"/>
  <c r="H18" i="21" s="1"/>
  <c r="I6" i="21"/>
  <c r="H6" i="21" s="1"/>
  <c r="N6" i="21"/>
  <c r="I7" i="21"/>
  <c r="N7" i="21"/>
  <c r="I8" i="21"/>
  <c r="N8" i="21"/>
  <c r="I9" i="21"/>
  <c r="N9" i="21"/>
  <c r="I10" i="21"/>
  <c r="I11" i="21"/>
  <c r="N11" i="21"/>
  <c r="I12" i="21"/>
  <c r="H12" i="21" s="1"/>
  <c r="I13" i="21"/>
  <c r="H13" i="21" s="1"/>
  <c r="I14" i="21"/>
  <c r="H14" i="21" s="1"/>
  <c r="I15" i="21"/>
  <c r="H15" i="21" s="1"/>
  <c r="I16" i="21"/>
  <c r="H16" i="21" s="1"/>
  <c r="I17" i="21"/>
  <c r="H17" i="21" s="1"/>
  <c r="I19" i="21"/>
  <c r="H19" i="21" s="1"/>
  <c r="I20" i="21"/>
  <c r="H20" i="21" s="1"/>
  <c r="I21" i="21"/>
  <c r="H21" i="21" s="1"/>
  <c r="I22" i="21"/>
  <c r="H22" i="21" s="1"/>
  <c r="I23" i="21"/>
  <c r="H23" i="21" s="1"/>
  <c r="I24" i="21"/>
  <c r="H24" i="21" s="1"/>
  <c r="I26" i="21"/>
  <c r="H26" i="21" s="1"/>
  <c r="I27" i="21"/>
  <c r="H27" i="21" s="1"/>
  <c r="I28" i="21"/>
  <c r="H28" i="21" s="1"/>
  <c r="I16" i="23"/>
  <c r="H16" i="23" s="1"/>
  <c r="I17" i="23"/>
  <c r="H17" i="23" s="1"/>
  <c r="I18" i="23"/>
  <c r="H18" i="23" s="1"/>
  <c r="I19" i="23"/>
  <c r="H19" i="23" s="1"/>
  <c r="I21" i="23"/>
  <c r="H21" i="23" s="1"/>
  <c r="I22" i="23"/>
  <c r="H22" i="23" s="1"/>
  <c r="I23" i="23"/>
  <c r="H23" i="23" s="1"/>
  <c r="I24" i="23"/>
  <c r="H24" i="23" s="1"/>
  <c r="I25" i="23"/>
  <c r="H25" i="23" s="1"/>
  <c r="I26" i="23"/>
  <c r="H26" i="23" s="1"/>
  <c r="I28" i="23"/>
  <c r="H28" i="23" s="1"/>
  <c r="I13" i="23"/>
  <c r="H13" i="23" s="1"/>
  <c r="I15" i="23"/>
  <c r="H15" i="23" s="1"/>
  <c r="I6" i="22"/>
  <c r="N6" i="22"/>
  <c r="I7" i="22"/>
  <c r="N7" i="22"/>
  <c r="I8" i="22"/>
  <c r="N8" i="22"/>
  <c r="I9" i="22"/>
  <c r="H9" i="22" s="1"/>
  <c r="N9" i="22"/>
  <c r="I10" i="22"/>
  <c r="N10" i="22"/>
  <c r="I11" i="22"/>
  <c r="H11" i="22" s="1"/>
  <c r="N11" i="22"/>
  <c r="N4" i="25"/>
  <c r="N10" i="25"/>
  <c r="N5" i="25"/>
  <c r="I5" i="25"/>
  <c r="N6" i="25"/>
  <c r="I6" i="25"/>
  <c r="N7" i="25"/>
  <c r="I7" i="25"/>
  <c r="N8" i="25"/>
  <c r="N9" i="25"/>
  <c r="I9" i="25"/>
  <c r="I10" i="25"/>
  <c r="N11" i="25"/>
  <c r="I11" i="25"/>
  <c r="I12" i="25"/>
  <c r="H12" i="25" s="1"/>
  <c r="I13" i="25"/>
  <c r="H13" i="25" s="1"/>
  <c r="I14" i="25"/>
  <c r="H14" i="25" s="1"/>
  <c r="I15" i="25"/>
  <c r="H15" i="25" s="1"/>
  <c r="I16" i="25"/>
  <c r="H16" i="25" s="1"/>
  <c r="I17" i="25"/>
  <c r="H17" i="25" s="1"/>
  <c r="I18" i="25"/>
  <c r="H18" i="25" s="1"/>
  <c r="I19" i="25"/>
  <c r="H19" i="25" s="1"/>
  <c r="I20" i="25"/>
  <c r="H20" i="25" s="1"/>
  <c r="I21" i="25"/>
  <c r="H21" i="25" s="1"/>
  <c r="I22" i="25"/>
  <c r="H22" i="25" s="1"/>
  <c r="I23" i="25"/>
  <c r="H23" i="25" s="1"/>
  <c r="I24" i="25"/>
  <c r="H24" i="25" s="1"/>
  <c r="I25" i="25"/>
  <c r="H25" i="25" s="1"/>
  <c r="I26" i="25"/>
  <c r="H26" i="25" s="1"/>
  <c r="H27" i="25"/>
  <c r="I28" i="25"/>
  <c r="H28" i="25" s="1"/>
  <c r="G29" i="25"/>
  <c r="D29" i="25"/>
  <c r="N8" i="24"/>
  <c r="N9" i="24"/>
  <c r="I9" i="24"/>
  <c r="H9" i="24" s="1"/>
  <c r="N10" i="24"/>
  <c r="I10" i="24"/>
  <c r="N11" i="24"/>
  <c r="I11" i="24"/>
  <c r="H27" i="24"/>
  <c r="I25" i="26"/>
  <c r="H25" i="26" s="1"/>
  <c r="I13" i="26"/>
  <c r="H13" i="26" s="1"/>
  <c r="I14" i="26"/>
  <c r="H14" i="26" s="1"/>
  <c r="I15" i="26"/>
  <c r="H15" i="26" s="1"/>
  <c r="I16" i="26"/>
  <c r="H16" i="26" s="1"/>
  <c r="I17" i="26"/>
  <c r="H17" i="26" s="1"/>
  <c r="I18" i="26"/>
  <c r="H18" i="26" s="1"/>
  <c r="I19" i="26"/>
  <c r="H19" i="26" s="1"/>
  <c r="I20" i="26"/>
  <c r="H20" i="26" s="1"/>
  <c r="I21" i="26"/>
  <c r="H21" i="26" s="1"/>
  <c r="I22" i="26"/>
  <c r="H22" i="26" s="1"/>
  <c r="I23" i="26"/>
  <c r="H23" i="26" s="1"/>
  <c r="I24" i="26"/>
  <c r="H24" i="26" s="1"/>
  <c r="I26" i="26"/>
  <c r="H26" i="26"/>
  <c r="I27" i="26"/>
  <c r="H27" i="26" s="1"/>
  <c r="I28" i="26"/>
  <c r="H28" i="26"/>
  <c r="I6" i="26"/>
  <c r="N6" i="26"/>
  <c r="I7" i="26"/>
  <c r="N7" i="26"/>
  <c r="I8" i="26"/>
  <c r="N8" i="26"/>
  <c r="N10" i="26"/>
  <c r="N13" i="26" s="1"/>
  <c r="I9" i="26" s="1"/>
  <c r="N9" i="26"/>
  <c r="I10" i="26"/>
  <c r="I11" i="26"/>
  <c r="N11" i="26"/>
  <c r="V28" i="4"/>
  <c r="H24" i="31"/>
  <c r="I25" i="31"/>
  <c r="H25" i="31"/>
  <c r="I26" i="31"/>
  <c r="H26" i="31" s="1"/>
  <c r="I27" i="31"/>
  <c r="H27" i="31" s="1"/>
  <c r="I12" i="31"/>
  <c r="H12" i="31" s="1"/>
  <c r="I13" i="31"/>
  <c r="H13" i="31" s="1"/>
  <c r="I14" i="31"/>
  <c r="H14" i="31" s="1"/>
  <c r="I15" i="31"/>
  <c r="I16" i="31"/>
  <c r="H16" i="31" s="1"/>
  <c r="I17" i="31"/>
  <c r="H17" i="31" s="1"/>
  <c r="I18" i="31"/>
  <c r="H18" i="31" s="1"/>
  <c r="I19" i="31"/>
  <c r="H19" i="31" s="1"/>
  <c r="I20" i="31"/>
  <c r="H20" i="31" s="1"/>
  <c r="I21" i="31"/>
  <c r="H21" i="31" s="1"/>
  <c r="I22" i="31"/>
  <c r="H22" i="31" s="1"/>
  <c r="I23" i="31"/>
  <c r="H23" i="31" s="1"/>
  <c r="I28" i="31"/>
  <c r="H28" i="31" s="1"/>
  <c r="G29" i="31"/>
  <c r="D29" i="31"/>
  <c r="N8" i="31"/>
  <c r="N9" i="31"/>
  <c r="N10" i="31"/>
  <c r="N13" i="31" s="1"/>
  <c r="N11" i="31"/>
  <c r="N4" i="31"/>
  <c r="N5" i="31"/>
  <c r="N6" i="31"/>
  <c r="N7" i="31"/>
  <c r="N22" i="31"/>
  <c r="N21" i="31"/>
  <c r="N20" i="31"/>
  <c r="N19" i="31"/>
  <c r="I11" i="31"/>
  <c r="I10" i="31"/>
  <c r="I9" i="31"/>
  <c r="I8" i="31"/>
  <c r="I7" i="31"/>
  <c r="I6" i="31"/>
  <c r="I5" i="31"/>
  <c r="I4" i="31"/>
  <c r="I6" i="27"/>
  <c r="N6" i="27"/>
  <c r="I7" i="27"/>
  <c r="N7" i="27"/>
  <c r="I8" i="27"/>
  <c r="N8" i="27"/>
  <c r="I9" i="27"/>
  <c r="N9" i="27"/>
  <c r="N10" i="27"/>
  <c r="I11" i="27"/>
  <c r="N11" i="27"/>
  <c r="N10" i="28"/>
  <c r="N13" i="28" s="1"/>
  <c r="I8" i="28" s="1"/>
  <c r="C3" i="1"/>
  <c r="I12" i="28"/>
  <c r="H12" i="28" s="1"/>
  <c r="I13" i="28"/>
  <c r="H13" i="28" s="1"/>
  <c r="I14" i="28"/>
  <c r="H14" i="28" s="1"/>
  <c r="N4" i="28"/>
  <c r="I4" i="28"/>
  <c r="I18" i="28"/>
  <c r="H18" i="28" s="1"/>
  <c r="I25" i="28"/>
  <c r="H25" i="28" s="1"/>
  <c r="D9" i="45"/>
  <c r="D8" i="45"/>
  <c r="E7" i="45"/>
  <c r="D7" i="45"/>
  <c r="I25" i="29"/>
  <c r="H25" i="29" s="1"/>
  <c r="I5" i="29"/>
  <c r="N5" i="29"/>
  <c r="I6" i="29"/>
  <c r="N6" i="29"/>
  <c r="I7" i="29"/>
  <c r="N7" i="29"/>
  <c r="I8" i="29"/>
  <c r="N8" i="29"/>
  <c r="I9" i="29"/>
  <c r="N9" i="29"/>
  <c r="N10" i="29"/>
  <c r="N13" i="29" s="1"/>
  <c r="I10" i="29" s="1"/>
  <c r="I11" i="29"/>
  <c r="N11" i="29"/>
  <c r="H25" i="32"/>
  <c r="I13" i="32"/>
  <c r="H13" i="32" s="1"/>
  <c r="I15" i="32"/>
  <c r="H15" i="32" s="1"/>
  <c r="N10" i="32"/>
  <c r="I17" i="32"/>
  <c r="H17" i="32" s="1"/>
  <c r="I18" i="32"/>
  <c r="H18" i="32" s="1"/>
  <c r="I19" i="32"/>
  <c r="H19" i="32" s="1"/>
  <c r="I20" i="32"/>
  <c r="H20" i="32" s="1"/>
  <c r="I21" i="32"/>
  <c r="H21" i="32" s="1"/>
  <c r="I22" i="32"/>
  <c r="H22" i="32"/>
  <c r="I23" i="32"/>
  <c r="H23" i="32" s="1"/>
  <c r="I24" i="32"/>
  <c r="H24" i="32" s="1"/>
  <c r="I26" i="32"/>
  <c r="H26" i="32" s="1"/>
  <c r="I27" i="32"/>
  <c r="H27" i="32" s="1"/>
  <c r="I28" i="32"/>
  <c r="H28" i="32" s="1"/>
  <c r="I5" i="32"/>
  <c r="N5" i="32"/>
  <c r="I6" i="32"/>
  <c r="N6" i="32"/>
  <c r="H6" i="32" s="1"/>
  <c r="I7" i="32"/>
  <c r="N7" i="32"/>
  <c r="I8" i="32"/>
  <c r="N8" i="32"/>
  <c r="I9" i="32"/>
  <c r="N9" i="32"/>
  <c r="I10" i="32"/>
  <c r="I11" i="32"/>
  <c r="N11" i="32"/>
  <c r="I7" i="33"/>
  <c r="N7" i="33"/>
  <c r="I8" i="33"/>
  <c r="N8" i="33"/>
  <c r="I9" i="33"/>
  <c r="H9" i="33" s="1"/>
  <c r="N9" i="33"/>
  <c r="I10" i="33"/>
  <c r="N10" i="33"/>
  <c r="N13" i="33" s="1"/>
  <c r="I14" i="33" s="1"/>
  <c r="H14" i="33" s="1"/>
  <c r="I11" i="33"/>
  <c r="N11" i="33"/>
  <c r="I12" i="33"/>
  <c r="H12" i="33" s="1"/>
  <c r="I4" i="33"/>
  <c r="N4" i="33"/>
  <c r="I5" i="33"/>
  <c r="N5" i="33"/>
  <c r="H23" i="33"/>
  <c r="E4" i="45"/>
  <c r="D5" i="45"/>
  <c r="D4" i="45"/>
  <c r="G3" i="45"/>
  <c r="F3" i="45"/>
  <c r="I12" i="34"/>
  <c r="H12" i="34" s="1"/>
  <c r="I17" i="35"/>
  <c r="H17" i="35" s="1"/>
  <c r="I19" i="35"/>
  <c r="H19" i="35" s="1"/>
  <c r="I26" i="35"/>
  <c r="H26" i="35" s="1"/>
  <c r="I27" i="35"/>
  <c r="I28" i="35"/>
  <c r="I26" i="36"/>
  <c r="H26" i="36" s="1"/>
  <c r="I27" i="36"/>
  <c r="I28" i="36"/>
  <c r="K3" i="1"/>
  <c r="N5" i="38"/>
  <c r="I5" i="38"/>
  <c r="N6" i="38"/>
  <c r="I6" i="38"/>
  <c r="N7" i="38"/>
  <c r="I7" i="38"/>
  <c r="N8" i="38"/>
  <c r="I8" i="38"/>
  <c r="H25" i="38"/>
  <c r="I9" i="38"/>
  <c r="N9" i="38"/>
  <c r="H9" i="38" s="1"/>
  <c r="N10" i="38"/>
  <c r="C7" i="1"/>
  <c r="C16" i="4"/>
  <c r="C4" i="4"/>
  <c r="C17" i="4"/>
  <c r="C10" i="4"/>
  <c r="C8" i="4"/>
  <c r="C9" i="4"/>
  <c r="C13" i="4"/>
  <c r="C15" i="4"/>
  <c r="C8" i="1"/>
  <c r="C22" i="4"/>
  <c r="C6" i="4"/>
  <c r="C25" i="4"/>
  <c r="C12" i="4"/>
  <c r="C11" i="4"/>
  <c r="C24" i="4"/>
  <c r="C9" i="1"/>
  <c r="C5" i="4"/>
  <c r="C14" i="4"/>
  <c r="C10" i="1"/>
  <c r="C26" i="4"/>
  <c r="C23" i="4"/>
  <c r="C11" i="1"/>
  <c r="C12" i="1"/>
  <c r="C27" i="4"/>
  <c r="C13" i="1"/>
  <c r="C21" i="4"/>
  <c r="C14" i="1"/>
  <c r="C18" i="4"/>
  <c r="C15" i="1"/>
  <c r="C20" i="4"/>
  <c r="C16" i="1"/>
  <c r="C17" i="1"/>
  <c r="C18" i="1"/>
  <c r="C3" i="4"/>
  <c r="C19" i="1"/>
  <c r="C20" i="1"/>
  <c r="C21" i="1"/>
  <c r="C19" i="4"/>
  <c r="C22" i="1"/>
  <c r="C23" i="1"/>
  <c r="C24" i="1"/>
  <c r="C25" i="1"/>
  <c r="C26" i="1"/>
  <c r="C27" i="1"/>
  <c r="C7" i="4"/>
  <c r="I23" i="53"/>
  <c r="H23" i="53" s="1"/>
  <c r="N4" i="53"/>
  <c r="I4" i="53"/>
  <c r="H4" i="53"/>
  <c r="N5" i="53"/>
  <c r="I5" i="53"/>
  <c r="N6" i="53"/>
  <c r="H6" i="53"/>
  <c r="N7" i="53"/>
  <c r="H7" i="53" s="1"/>
  <c r="N8" i="53"/>
  <c r="N10" i="53"/>
  <c r="N13" i="53" s="1"/>
  <c r="I19" i="53" s="1"/>
  <c r="H19" i="53" s="1"/>
  <c r="I8" i="53"/>
  <c r="N9" i="53"/>
  <c r="I9" i="53"/>
  <c r="I10" i="53"/>
  <c r="N11" i="53"/>
  <c r="I11" i="53"/>
  <c r="I12" i="53"/>
  <c r="H12" i="53" s="1"/>
  <c r="I13" i="53"/>
  <c r="H13" i="53"/>
  <c r="I14" i="53"/>
  <c r="H14" i="53" s="1"/>
  <c r="I15" i="53"/>
  <c r="H15" i="53" s="1"/>
  <c r="I16" i="53"/>
  <c r="H16" i="53" s="1"/>
  <c r="I17" i="53"/>
  <c r="H17" i="53"/>
  <c r="I18" i="53"/>
  <c r="H18" i="53" s="1"/>
  <c r="I20" i="53"/>
  <c r="H20" i="53" s="1"/>
  <c r="I21" i="53"/>
  <c r="H21" i="53" s="1"/>
  <c r="I22" i="53"/>
  <c r="H22" i="53" s="1"/>
  <c r="I24" i="53"/>
  <c r="H24" i="53" s="1"/>
  <c r="I25" i="53"/>
  <c r="H25" i="53" s="1"/>
  <c r="I26" i="53"/>
  <c r="H26" i="53"/>
  <c r="I27" i="53"/>
  <c r="H27" i="53" s="1"/>
  <c r="I28" i="53"/>
  <c r="H28" i="53" s="1"/>
  <c r="G29" i="53"/>
  <c r="D29" i="53"/>
  <c r="I7" i="53"/>
  <c r="I6" i="53"/>
  <c r="G17" i="1"/>
  <c r="C16" i="3"/>
  <c r="C9" i="3"/>
  <c r="C25" i="3"/>
  <c r="C15" i="3"/>
  <c r="C21" i="3"/>
  <c r="C17" i="3"/>
  <c r="C5" i="3"/>
  <c r="C27" i="3"/>
  <c r="C14" i="3"/>
  <c r="C13" i="3"/>
  <c r="C18" i="3"/>
  <c r="C23" i="3"/>
  <c r="G18" i="1"/>
  <c r="C11" i="3"/>
  <c r="C10" i="3"/>
  <c r="C24" i="3"/>
  <c r="C22" i="3"/>
  <c r="C8" i="3"/>
  <c r="G19" i="1"/>
  <c r="G20" i="1"/>
  <c r="C26" i="3"/>
  <c r="G21" i="1"/>
  <c r="C20" i="3"/>
  <c r="G22" i="1"/>
  <c r="G23" i="1"/>
  <c r="C12" i="3"/>
  <c r="G24" i="1"/>
  <c r="G25" i="1"/>
  <c r="G26" i="1"/>
  <c r="G27" i="1"/>
  <c r="K17" i="1"/>
  <c r="AI21" i="5"/>
  <c r="AN21" i="5" s="1"/>
  <c r="AI8" i="5"/>
  <c r="AN8" i="5" s="1"/>
  <c r="AI19" i="5"/>
  <c r="AJ19" i="5" s="1"/>
  <c r="AI12" i="5"/>
  <c r="AI24" i="5"/>
  <c r="AJ24" i="5" s="1"/>
  <c r="AI18" i="5"/>
  <c r="AI15" i="5"/>
  <c r="AJ15" i="5" s="1"/>
  <c r="AI17" i="5"/>
  <c r="AI25" i="5"/>
  <c r="AJ25" i="5" s="1"/>
  <c r="AI14" i="5"/>
  <c r="AI7" i="5"/>
  <c r="AJ7" i="5" s="1"/>
  <c r="AI16" i="5"/>
  <c r="K18" i="1"/>
  <c r="AI3" i="5"/>
  <c r="AJ3" i="5" s="1"/>
  <c r="AI26" i="5"/>
  <c r="AJ26" i="5" s="1"/>
  <c r="AI27" i="5"/>
  <c r="AJ27" i="5" s="1"/>
  <c r="K19" i="1"/>
  <c r="K20" i="1"/>
  <c r="AI20" i="5"/>
  <c r="AJ20" i="5" s="1"/>
  <c r="AI22" i="5"/>
  <c r="AJ22" i="5" s="1"/>
  <c r="AI5" i="5"/>
  <c r="AJ5" i="5" s="1"/>
  <c r="K21" i="1"/>
  <c r="AI4" i="5"/>
  <c r="AJ4" i="5" s="1"/>
  <c r="K22" i="1"/>
  <c r="AI23" i="5"/>
  <c r="AJ23" i="5" s="1"/>
  <c r="K23" i="1"/>
  <c r="K24" i="1"/>
  <c r="AI10" i="5"/>
  <c r="AJ10" i="5" s="1"/>
  <c r="K25" i="1"/>
  <c r="AI9" i="5"/>
  <c r="AI11" i="5"/>
  <c r="AJ11" i="5" s="1"/>
  <c r="K26" i="1"/>
  <c r="K27" i="1"/>
  <c r="AJ4" i="4"/>
  <c r="AK4" i="4"/>
  <c r="AL4" i="4"/>
  <c r="AJ3" i="4"/>
  <c r="AN3" i="4" s="1"/>
  <c r="AL21" i="5"/>
  <c r="G4" i="1"/>
  <c r="G5" i="1"/>
  <c r="G6" i="1"/>
  <c r="G7" i="1"/>
  <c r="G8" i="1"/>
  <c r="G9" i="1"/>
  <c r="G10" i="1"/>
  <c r="G11" i="1"/>
  <c r="G12" i="1"/>
  <c r="G13" i="1"/>
  <c r="G14" i="1"/>
  <c r="G15" i="1"/>
  <c r="G16" i="1"/>
  <c r="AJ20" i="3"/>
  <c r="N10" i="48"/>
  <c r="I15" i="48"/>
  <c r="H15" i="48" s="1"/>
  <c r="I16" i="48"/>
  <c r="I17" i="48"/>
  <c r="H17" i="48" s="1"/>
  <c r="I18" i="48"/>
  <c r="H18" i="48" s="1"/>
  <c r="I19" i="48"/>
  <c r="H19" i="48" s="1"/>
  <c r="I20" i="48"/>
  <c r="H20" i="48" s="1"/>
  <c r="I21" i="48"/>
  <c r="H21" i="48" s="1"/>
  <c r="I22" i="48"/>
  <c r="H22" i="48" s="1"/>
  <c r="I23" i="48"/>
  <c r="H23" i="48" s="1"/>
  <c r="I24" i="48"/>
  <c r="H24" i="48" s="1"/>
  <c r="I7" i="48"/>
  <c r="N7" i="48"/>
  <c r="I8" i="48"/>
  <c r="N8" i="48"/>
  <c r="N9" i="48"/>
  <c r="I10" i="48"/>
  <c r="I11" i="48"/>
  <c r="N11" i="48"/>
  <c r="AI13" i="5"/>
  <c r="AJ13" i="5" s="1"/>
  <c r="AK13" i="5" s="1"/>
  <c r="AI6" i="5"/>
  <c r="AJ6" i="5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AG27" i="44"/>
  <c r="I5" i="8"/>
  <c r="N5" i="8"/>
  <c r="D29" i="8"/>
  <c r="N6" i="9"/>
  <c r="I6" i="9"/>
  <c r="N7" i="9"/>
  <c r="I7" i="9"/>
  <c r="N8" i="9"/>
  <c r="I8" i="9"/>
  <c r="N9" i="9"/>
  <c r="I9" i="9"/>
  <c r="N10" i="9"/>
  <c r="I10" i="9"/>
  <c r="N11" i="9"/>
  <c r="I11" i="9"/>
  <c r="Q26" i="9"/>
  <c r="Q25" i="9"/>
  <c r="K28" i="5"/>
  <c r="I5" i="17"/>
  <c r="N5" i="17"/>
  <c r="I6" i="17"/>
  <c r="N6" i="17"/>
  <c r="I7" i="17"/>
  <c r="N7" i="17"/>
  <c r="I8" i="17"/>
  <c r="N8" i="17"/>
  <c r="I9" i="17"/>
  <c r="N9" i="17"/>
  <c r="N10" i="17"/>
  <c r="N13" i="17" s="1"/>
  <c r="I10" i="17" s="1"/>
  <c r="H10" i="17" s="1"/>
  <c r="I11" i="17"/>
  <c r="N11" i="17"/>
  <c r="I5" i="19"/>
  <c r="H5" i="19" s="1"/>
  <c r="N5" i="19"/>
  <c r="N13" i="19"/>
  <c r="I8" i="19" s="1"/>
  <c r="I4" i="19"/>
  <c r="I12" i="19"/>
  <c r="I13" i="19"/>
  <c r="I15" i="19"/>
  <c r="I16" i="19"/>
  <c r="I17" i="19"/>
  <c r="H17" i="19" s="1"/>
  <c r="I18" i="19"/>
  <c r="H18" i="19" s="1"/>
  <c r="I19" i="19"/>
  <c r="H19" i="19" s="1"/>
  <c r="I20" i="19"/>
  <c r="I21" i="19"/>
  <c r="I22" i="19"/>
  <c r="I23" i="19"/>
  <c r="I25" i="19"/>
  <c r="I26" i="19"/>
  <c r="I27" i="19"/>
  <c r="I28" i="19"/>
  <c r="H28" i="19" s="1"/>
  <c r="I4" i="18"/>
  <c r="N10" i="23"/>
  <c r="I14" i="23"/>
  <c r="H14" i="23" s="1"/>
  <c r="I13" i="24"/>
  <c r="H13" i="24" s="1"/>
  <c r="I14" i="24"/>
  <c r="H14" i="24" s="1"/>
  <c r="N13" i="24"/>
  <c r="I8" i="24" s="1"/>
  <c r="I15" i="24"/>
  <c r="H15" i="24" s="1"/>
  <c r="I16" i="24"/>
  <c r="H16" i="24" s="1"/>
  <c r="I17" i="24"/>
  <c r="H17" i="24" s="1"/>
  <c r="I18" i="24"/>
  <c r="H18" i="24" s="1"/>
  <c r="I19" i="24"/>
  <c r="H19" i="24" s="1"/>
  <c r="I20" i="24"/>
  <c r="H20" i="24" s="1"/>
  <c r="I21" i="24"/>
  <c r="H21" i="24" s="1"/>
  <c r="I22" i="24"/>
  <c r="H22" i="24" s="1"/>
  <c r="I23" i="24"/>
  <c r="H23" i="24" s="1"/>
  <c r="I24" i="24"/>
  <c r="H24" i="24" s="1"/>
  <c r="I25" i="24"/>
  <c r="H25" i="24" s="1"/>
  <c r="I26" i="24"/>
  <c r="H26" i="24" s="1"/>
  <c r="I28" i="24"/>
  <c r="H28" i="24" s="1"/>
  <c r="I5" i="24"/>
  <c r="H5" i="24" s="1"/>
  <c r="N5" i="24"/>
  <c r="I6" i="24"/>
  <c r="N6" i="24"/>
  <c r="I7" i="24"/>
  <c r="N7" i="24"/>
  <c r="I12" i="24"/>
  <c r="H12" i="24" s="1"/>
  <c r="Y28" i="5"/>
  <c r="Z28" i="5"/>
  <c r="AH28" i="5"/>
  <c r="AG28" i="5"/>
  <c r="AF28" i="5"/>
  <c r="AE28" i="5"/>
  <c r="AD28" i="5"/>
  <c r="AC28" i="5"/>
  <c r="AB28" i="5"/>
  <c r="AA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I28" i="5"/>
  <c r="H28" i="5"/>
  <c r="G28" i="5"/>
  <c r="F28" i="5"/>
  <c r="E28" i="5"/>
  <c r="D28" i="5"/>
  <c r="AL13" i="5"/>
  <c r="AL4" i="5"/>
  <c r="AL6" i="5"/>
  <c r="AL17" i="5"/>
  <c r="AL26" i="5"/>
  <c r="AL8" i="5"/>
  <c r="AL12" i="5"/>
  <c r="AL9" i="5"/>
  <c r="AL14" i="5"/>
  <c r="AL20" i="5"/>
  <c r="AL7" i="5"/>
  <c r="AL22" i="5"/>
  <c r="AL10" i="5"/>
  <c r="AL27" i="5"/>
  <c r="AL23" i="5"/>
  <c r="AL3" i="5"/>
  <c r="AL15" i="5"/>
  <c r="AL18" i="5"/>
  <c r="AL19" i="5"/>
  <c r="AL16" i="5"/>
  <c r="AL24" i="5"/>
  <c r="AL25" i="5"/>
  <c r="AL11" i="5"/>
  <c r="AL5" i="5"/>
  <c r="I15" i="28"/>
  <c r="H15" i="28" s="1"/>
  <c r="I16" i="28"/>
  <c r="H16" i="28" s="1"/>
  <c r="I17" i="28"/>
  <c r="H17" i="28" s="1"/>
  <c r="I19" i="28"/>
  <c r="H19" i="28" s="1"/>
  <c r="I20" i="28"/>
  <c r="H20" i="28" s="1"/>
  <c r="I21" i="28"/>
  <c r="H21" i="28" s="1"/>
  <c r="I22" i="28"/>
  <c r="H22" i="28" s="1"/>
  <c r="I23" i="28"/>
  <c r="H23" i="28" s="1"/>
  <c r="I24" i="28"/>
  <c r="H24" i="28" s="1"/>
  <c r="I26" i="28"/>
  <c r="H26" i="28" s="1"/>
  <c r="I27" i="28"/>
  <c r="H27" i="28" s="1"/>
  <c r="I28" i="28"/>
  <c r="H28" i="28" s="1"/>
  <c r="I5" i="28"/>
  <c r="N5" i="28"/>
  <c r="I6" i="28"/>
  <c r="N6" i="28"/>
  <c r="I7" i="28"/>
  <c r="H7" i="28" s="1"/>
  <c r="N7" i="28"/>
  <c r="I11" i="28"/>
  <c r="E5" i="45"/>
  <c r="N10" i="34"/>
  <c r="N13" i="34" s="1"/>
  <c r="I8" i="34" s="1"/>
  <c r="I6" i="34"/>
  <c r="N6" i="34"/>
  <c r="I7" i="34"/>
  <c r="I9" i="34"/>
  <c r="H9" i="34" s="1"/>
  <c r="N9" i="34"/>
  <c r="I10" i="34"/>
  <c r="I11" i="34"/>
  <c r="N11" i="34"/>
  <c r="I4" i="34"/>
  <c r="H4" i="34" s="1"/>
  <c r="N4" i="34"/>
  <c r="AE27" i="52"/>
  <c r="AF27" i="52"/>
  <c r="I12" i="38"/>
  <c r="H12" i="38" s="1"/>
  <c r="I14" i="38"/>
  <c r="H14" i="38" s="1"/>
  <c r="I16" i="38"/>
  <c r="H16" i="38" s="1"/>
  <c r="I17" i="38"/>
  <c r="H17" i="38" s="1"/>
  <c r="I19" i="38"/>
  <c r="H19" i="38" s="1"/>
  <c r="I20" i="38"/>
  <c r="H20" i="38" s="1"/>
  <c r="I21" i="38"/>
  <c r="H21" i="38" s="1"/>
  <c r="I22" i="38"/>
  <c r="H22" i="38" s="1"/>
  <c r="I23" i="38"/>
  <c r="H23" i="38" s="1"/>
  <c r="I24" i="38"/>
  <c r="H24" i="38" s="1"/>
  <c r="I26" i="38"/>
  <c r="H26" i="38"/>
  <c r="I27" i="38"/>
  <c r="H27" i="38" s="1"/>
  <c r="I28" i="38"/>
  <c r="H28" i="38" s="1"/>
  <c r="D3" i="45"/>
  <c r="C3" i="45"/>
  <c r="C5" i="45"/>
  <c r="C6" i="45"/>
  <c r="C7" i="45"/>
  <c r="C8" i="45"/>
  <c r="C9" i="45"/>
  <c r="C10" i="45"/>
  <c r="C19" i="45"/>
  <c r="C20" i="45"/>
  <c r="C25" i="45"/>
  <c r="C26" i="45"/>
  <c r="C27" i="45"/>
  <c r="B3" i="45"/>
  <c r="B4" i="45"/>
  <c r="B5" i="45"/>
  <c r="B6" i="45"/>
  <c r="B7" i="45"/>
  <c r="B8" i="45"/>
  <c r="B9" i="45"/>
  <c r="B10" i="45"/>
  <c r="B11" i="45"/>
  <c r="B13" i="45"/>
  <c r="B14" i="45"/>
  <c r="B15" i="45"/>
  <c r="B17" i="45"/>
  <c r="B18" i="45"/>
  <c r="B19" i="45"/>
  <c r="B21" i="45"/>
  <c r="B22" i="45"/>
  <c r="B24" i="45"/>
  <c r="B1" i="38"/>
  <c r="B1" i="39"/>
  <c r="I4" i="48"/>
  <c r="H4" i="48" s="1"/>
  <c r="N4" i="48"/>
  <c r="N5" i="48"/>
  <c r="Q26" i="48"/>
  <c r="Q25" i="48"/>
  <c r="AE27" i="44"/>
  <c r="AJ5" i="3"/>
  <c r="AJ18" i="3"/>
  <c r="AJ12" i="3"/>
  <c r="AJ7" i="3"/>
  <c r="AJ24" i="3"/>
  <c r="AJ3" i="3"/>
  <c r="AJ16" i="3"/>
  <c r="AJ6" i="3"/>
  <c r="AJ10" i="3"/>
  <c r="AJ14" i="3"/>
  <c r="AJ13" i="3"/>
  <c r="AJ9" i="3"/>
  <c r="AJ4" i="3"/>
  <c r="AJ19" i="3"/>
  <c r="AJ17" i="3"/>
  <c r="AJ8" i="3"/>
  <c r="AJ15" i="3"/>
  <c r="AJ22" i="3"/>
  <c r="AJ26" i="3"/>
  <c r="AJ11" i="3"/>
  <c r="AJ25" i="3"/>
  <c r="AJ27" i="3"/>
  <c r="AJ23" i="3"/>
  <c r="AJ21" i="3"/>
  <c r="I28" i="17"/>
  <c r="H28" i="17" s="1"/>
  <c r="I26" i="17"/>
  <c r="H26" i="17" s="1"/>
  <c r="I25" i="17"/>
  <c r="H25" i="17" s="1"/>
  <c r="I24" i="17"/>
  <c r="H24" i="17" s="1"/>
  <c r="I23" i="17"/>
  <c r="H23" i="17" s="1"/>
  <c r="I22" i="17"/>
  <c r="H22" i="17" s="1"/>
  <c r="I21" i="17"/>
  <c r="H21" i="17" s="1"/>
  <c r="I20" i="17"/>
  <c r="H20" i="17" s="1"/>
  <c r="I19" i="17"/>
  <c r="H19" i="17" s="1"/>
  <c r="I18" i="17"/>
  <c r="H18" i="17" s="1"/>
  <c r="I17" i="17"/>
  <c r="H17" i="17" s="1"/>
  <c r="I16" i="17"/>
  <c r="H16" i="17" s="1"/>
  <c r="I15" i="17"/>
  <c r="H15" i="17" s="1"/>
  <c r="I14" i="17"/>
  <c r="H14" i="17" s="1"/>
  <c r="I13" i="17"/>
  <c r="H13" i="17" s="1"/>
  <c r="I12" i="17"/>
  <c r="H12" i="17" s="1"/>
  <c r="I4" i="17"/>
  <c r="N4" i="17"/>
  <c r="V27" i="44"/>
  <c r="AL21" i="4"/>
  <c r="AL23" i="4"/>
  <c r="AL13" i="4"/>
  <c r="AL24" i="4"/>
  <c r="AL26" i="4"/>
  <c r="AL5" i="4"/>
  <c r="AL10" i="4"/>
  <c r="AL16" i="4"/>
  <c r="AL7" i="4"/>
  <c r="AL18" i="4"/>
  <c r="AL22" i="4"/>
  <c r="AL6" i="4"/>
  <c r="AL8" i="4"/>
  <c r="AL12" i="4"/>
  <c r="AL27" i="4"/>
  <c r="AL11" i="4"/>
  <c r="AL20" i="4"/>
  <c r="AL19" i="4"/>
  <c r="AL15" i="4"/>
  <c r="AL3" i="4"/>
  <c r="AL17" i="4"/>
  <c r="AL14" i="4"/>
  <c r="AL9" i="4"/>
  <c r="AL25" i="4"/>
  <c r="N10" i="30"/>
  <c r="N13" i="30" s="1"/>
  <c r="I4" i="30"/>
  <c r="I20" i="30"/>
  <c r="H20" i="30" s="1"/>
  <c r="I19" i="30"/>
  <c r="H19" i="30" s="1"/>
  <c r="I17" i="30"/>
  <c r="H17" i="30" s="1"/>
  <c r="I16" i="30"/>
  <c r="H16" i="30" s="1"/>
  <c r="I14" i="30"/>
  <c r="H14" i="30" s="1"/>
  <c r="I12" i="30"/>
  <c r="H12" i="30" s="1"/>
  <c r="N11" i="30"/>
  <c r="I11" i="30"/>
  <c r="N9" i="30"/>
  <c r="N8" i="30"/>
  <c r="I8" i="30"/>
  <c r="N7" i="30"/>
  <c r="I7" i="30"/>
  <c r="N6" i="30"/>
  <c r="N5" i="30"/>
  <c r="I5" i="30"/>
  <c r="N4" i="30"/>
  <c r="C19" i="3"/>
  <c r="C4" i="3"/>
  <c r="C6" i="3"/>
  <c r="C7" i="3"/>
  <c r="C3" i="3"/>
  <c r="N6" i="35"/>
  <c r="H6" i="35" s="1"/>
  <c r="I6" i="35"/>
  <c r="N7" i="35"/>
  <c r="I7" i="35"/>
  <c r="N8" i="35"/>
  <c r="I8" i="35"/>
  <c r="N9" i="35"/>
  <c r="N10" i="35"/>
  <c r="N13" i="35" s="1"/>
  <c r="I9" i="35" s="1"/>
  <c r="I10" i="35"/>
  <c r="N11" i="35"/>
  <c r="I11" i="35"/>
  <c r="N5" i="35"/>
  <c r="I5" i="35"/>
  <c r="E3" i="45"/>
  <c r="C9" i="52"/>
  <c r="C24" i="52"/>
  <c r="C14" i="52"/>
  <c r="C10" i="52"/>
  <c r="C13" i="52"/>
  <c r="C5" i="52"/>
  <c r="C16" i="52"/>
  <c r="C3" i="52"/>
  <c r="C17" i="52"/>
  <c r="C18" i="52"/>
  <c r="C19" i="52"/>
  <c r="C4" i="52"/>
  <c r="C7" i="52"/>
  <c r="C23" i="52"/>
  <c r="C26" i="52"/>
  <c r="C20" i="52"/>
  <c r="C21" i="52"/>
  <c r="C15" i="52"/>
  <c r="C22" i="52"/>
  <c r="C11" i="52"/>
  <c r="C12" i="52"/>
  <c r="C25" i="52"/>
  <c r="C8" i="52"/>
  <c r="C6" i="52"/>
  <c r="AD27" i="52"/>
  <c r="AC27" i="52"/>
  <c r="AB27" i="52"/>
  <c r="AA27" i="52"/>
  <c r="Z27" i="52"/>
  <c r="Y27" i="52"/>
  <c r="X27" i="52"/>
  <c r="W27" i="52"/>
  <c r="V27" i="52"/>
  <c r="U27" i="52"/>
  <c r="T27" i="52"/>
  <c r="S27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F27" i="52"/>
  <c r="E27" i="52"/>
  <c r="D27" i="52"/>
  <c r="N4" i="49"/>
  <c r="I4" i="49"/>
  <c r="N8" i="49"/>
  <c r="I8" i="49"/>
  <c r="I12" i="49"/>
  <c r="H12" i="49" s="1"/>
  <c r="I17" i="49"/>
  <c r="H17" i="49" s="1"/>
  <c r="I18" i="49"/>
  <c r="H18" i="49" s="1"/>
  <c r="I19" i="49"/>
  <c r="H19" i="49" s="1"/>
  <c r="I20" i="49"/>
  <c r="H20" i="49" s="1"/>
  <c r="I21" i="49"/>
  <c r="H21" i="49" s="1"/>
  <c r="I22" i="49"/>
  <c r="H22" i="49" s="1"/>
  <c r="I23" i="49"/>
  <c r="H23" i="49" s="1"/>
  <c r="I24" i="49"/>
  <c r="H24" i="49" s="1"/>
  <c r="I25" i="49"/>
  <c r="H25" i="49" s="1"/>
  <c r="I26" i="49"/>
  <c r="H26" i="49" s="1"/>
  <c r="I28" i="49"/>
  <c r="H28" i="49" s="1"/>
  <c r="G29" i="49"/>
  <c r="D29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6" i="49"/>
  <c r="Q5" i="49"/>
  <c r="Q4" i="49"/>
  <c r="N6" i="48"/>
  <c r="I12" i="48"/>
  <c r="H12" i="48" s="1"/>
  <c r="I25" i="48"/>
  <c r="H25" i="48"/>
  <c r="I26" i="48"/>
  <c r="H26" i="48" s="1"/>
  <c r="I28" i="48"/>
  <c r="H28" i="48" s="1"/>
  <c r="G29" i="48"/>
  <c r="D29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6" i="48"/>
  <c r="Q5" i="48"/>
  <c r="Q4" i="48"/>
  <c r="AJ20" i="4"/>
  <c r="AN20" i="4" s="1"/>
  <c r="AJ13" i="4"/>
  <c r="AN13" i="4" s="1"/>
  <c r="AJ22" i="4"/>
  <c r="AN22" i="4" s="1"/>
  <c r="AJ23" i="4"/>
  <c r="AN23" i="4" s="1"/>
  <c r="AJ17" i="4"/>
  <c r="AN17" i="4" s="1"/>
  <c r="AJ14" i="4"/>
  <c r="AN14" i="4" s="1"/>
  <c r="AJ25" i="4"/>
  <c r="AN25" i="4" s="1"/>
  <c r="AJ12" i="4"/>
  <c r="AN12" i="4" s="1"/>
  <c r="AJ18" i="4"/>
  <c r="AN18" i="4" s="1"/>
  <c r="AJ10" i="4"/>
  <c r="AN10" i="4" s="1"/>
  <c r="AJ8" i="4"/>
  <c r="AN8" i="4" s="1"/>
  <c r="AJ6" i="4"/>
  <c r="AN6" i="4" s="1"/>
  <c r="AJ11" i="4"/>
  <c r="AN11" i="4" s="1"/>
  <c r="AJ21" i="4"/>
  <c r="AN21" i="4" s="1"/>
  <c r="AJ15" i="4"/>
  <c r="AN15" i="4" s="1"/>
  <c r="AJ19" i="4"/>
  <c r="AN19" i="4" s="1"/>
  <c r="AJ7" i="4"/>
  <c r="AN7" i="4" s="1"/>
  <c r="AJ24" i="4"/>
  <c r="AN24" i="4" s="1"/>
  <c r="AK25" i="4"/>
  <c r="AK26" i="4"/>
  <c r="I28" i="8"/>
  <c r="H28" i="8" s="1"/>
  <c r="I27" i="8"/>
  <c r="H27" i="8" s="1"/>
  <c r="I26" i="8"/>
  <c r="H26" i="8" s="1"/>
  <c r="I24" i="8"/>
  <c r="H24" i="8" s="1"/>
  <c r="I23" i="8"/>
  <c r="H23" i="8" s="1"/>
  <c r="I22" i="8"/>
  <c r="H22" i="8" s="1"/>
  <c r="I21" i="8"/>
  <c r="H21" i="8" s="1"/>
  <c r="I20" i="8"/>
  <c r="H20" i="8"/>
  <c r="I19" i="8"/>
  <c r="H19" i="8" s="1"/>
  <c r="I18" i="8"/>
  <c r="H18" i="8" s="1"/>
  <c r="I17" i="8"/>
  <c r="H17" i="8" s="1"/>
  <c r="I16" i="8"/>
  <c r="H16" i="8" s="1"/>
  <c r="I15" i="8"/>
  <c r="H15" i="8" s="1"/>
  <c r="I14" i="8"/>
  <c r="H14" i="8" s="1"/>
  <c r="I13" i="8"/>
  <c r="H13" i="8" s="1"/>
  <c r="I12" i="8"/>
  <c r="H12" i="8" s="1"/>
  <c r="N10" i="8"/>
  <c r="N11" i="8"/>
  <c r="I10" i="8"/>
  <c r="I9" i="8"/>
  <c r="N9" i="8"/>
  <c r="I8" i="8"/>
  <c r="H8" i="8" s="1"/>
  <c r="N8" i="8"/>
  <c r="I7" i="8"/>
  <c r="N7" i="8"/>
  <c r="I6" i="8"/>
  <c r="N6" i="8"/>
  <c r="I4" i="8"/>
  <c r="N4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N13" i="9"/>
  <c r="N5" i="9"/>
  <c r="N4" i="9"/>
  <c r="I28" i="9"/>
  <c r="H28" i="9" s="1"/>
  <c r="I27" i="9"/>
  <c r="H27" i="9" s="1"/>
  <c r="I25" i="9"/>
  <c r="H25" i="9" s="1"/>
  <c r="I24" i="9"/>
  <c r="H24" i="9" s="1"/>
  <c r="I23" i="9"/>
  <c r="H23" i="9" s="1"/>
  <c r="I22" i="9"/>
  <c r="H22" i="9"/>
  <c r="I21" i="9"/>
  <c r="H21" i="9" s="1"/>
  <c r="I20" i="9"/>
  <c r="H20" i="9" s="1"/>
  <c r="I19" i="9"/>
  <c r="H19" i="9" s="1"/>
  <c r="I18" i="9"/>
  <c r="H18" i="9" s="1"/>
  <c r="I17" i="9"/>
  <c r="H17" i="9" s="1"/>
  <c r="I16" i="9"/>
  <c r="H16" i="9" s="1"/>
  <c r="I15" i="9"/>
  <c r="H15" i="9" s="1"/>
  <c r="I14" i="9"/>
  <c r="H14" i="9" s="1"/>
  <c r="I13" i="9"/>
  <c r="H13" i="9" s="1"/>
  <c r="I12" i="9"/>
  <c r="H12" i="9" s="1"/>
  <c r="I5" i="9"/>
  <c r="I4" i="9"/>
  <c r="H4" i="9" s="1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O16" i="1"/>
  <c r="Y27" i="44"/>
  <c r="D29" i="3"/>
  <c r="E29" i="3"/>
  <c r="F29" i="3"/>
  <c r="G29" i="3"/>
  <c r="H29" i="3"/>
  <c r="I29" i="3"/>
  <c r="J29" i="3"/>
  <c r="K29" i="3"/>
  <c r="L29" i="3"/>
  <c r="D28" i="4"/>
  <c r="E28" i="4"/>
  <c r="F28" i="4"/>
  <c r="G28" i="4"/>
  <c r="H28" i="4"/>
  <c r="Z27" i="44"/>
  <c r="AA27" i="44"/>
  <c r="AB27" i="44"/>
  <c r="AC27" i="44"/>
  <c r="AD27" i="44"/>
  <c r="C27" i="44"/>
  <c r="D27" i="44"/>
  <c r="E27" i="44"/>
  <c r="F27" i="44"/>
  <c r="G27" i="44"/>
  <c r="H27" i="44"/>
  <c r="I27" i="44"/>
  <c r="J27" i="44"/>
  <c r="K27" i="44"/>
  <c r="L27" i="44"/>
  <c r="M27" i="44"/>
  <c r="N27" i="44"/>
  <c r="O27" i="44"/>
  <c r="P27" i="44"/>
  <c r="Q27" i="44"/>
  <c r="R27" i="44"/>
  <c r="S27" i="44"/>
  <c r="T27" i="44"/>
  <c r="U27" i="44"/>
  <c r="W27" i="44"/>
  <c r="X27" i="44"/>
  <c r="I28" i="4"/>
  <c r="AJ5" i="4"/>
  <c r="AN4" i="4" s="1"/>
  <c r="AJ9" i="4"/>
  <c r="AN9" i="4" s="1"/>
  <c r="AJ27" i="4"/>
  <c r="AN27" i="4" s="1"/>
  <c r="AJ26" i="4"/>
  <c r="AN26" i="4" s="1"/>
  <c r="AJ16" i="4"/>
  <c r="AN16" i="4" s="1"/>
  <c r="J28" i="4"/>
  <c r="K28" i="4"/>
  <c r="L28" i="4"/>
  <c r="M28" i="4"/>
  <c r="N28" i="4"/>
  <c r="O28" i="4"/>
  <c r="Q28" i="4"/>
  <c r="R28" i="4"/>
  <c r="S28" i="4"/>
  <c r="T28" i="4"/>
  <c r="U28" i="4"/>
  <c r="W28" i="4"/>
  <c r="X28" i="4"/>
  <c r="AA28" i="4"/>
  <c r="AB28" i="4"/>
  <c r="AC28" i="4"/>
  <c r="AD28" i="4"/>
  <c r="AE28" i="4"/>
  <c r="AF28" i="4"/>
  <c r="AG28" i="4"/>
  <c r="AH28" i="4"/>
  <c r="AI28" i="4"/>
  <c r="P28" i="4"/>
  <c r="O15" i="1"/>
  <c r="O12" i="1"/>
  <c r="P12" i="1"/>
  <c r="I12" i="35"/>
  <c r="H12" i="35" s="1"/>
  <c r="I13" i="35"/>
  <c r="H13" i="35" s="1"/>
  <c r="I14" i="35"/>
  <c r="H14" i="35" s="1"/>
  <c r="I15" i="35"/>
  <c r="H15" i="35" s="1"/>
  <c r="I16" i="35"/>
  <c r="H16" i="35" s="1"/>
  <c r="I20" i="35"/>
  <c r="I21" i="35"/>
  <c r="H21" i="35" s="1"/>
  <c r="I22" i="35"/>
  <c r="I23" i="35"/>
  <c r="H23" i="35" s="1"/>
  <c r="I24" i="35"/>
  <c r="H24" i="35" s="1"/>
  <c r="I25" i="35"/>
  <c r="H25" i="35" s="1"/>
  <c r="I4" i="35"/>
  <c r="I5" i="36"/>
  <c r="I6" i="36"/>
  <c r="I7" i="36"/>
  <c r="I9" i="36"/>
  <c r="N10" i="36"/>
  <c r="N13" i="36" s="1"/>
  <c r="I8" i="36" s="1"/>
  <c r="H8" i="36" s="1"/>
  <c r="I10" i="36"/>
  <c r="I11" i="36"/>
  <c r="I12" i="36"/>
  <c r="H12" i="36" s="1"/>
  <c r="I13" i="36"/>
  <c r="H13" i="36" s="1"/>
  <c r="I14" i="36"/>
  <c r="H14" i="36" s="1"/>
  <c r="I15" i="36"/>
  <c r="H15" i="36" s="1"/>
  <c r="I16" i="36"/>
  <c r="H16" i="36" s="1"/>
  <c r="I17" i="36"/>
  <c r="H17" i="36" s="1"/>
  <c r="I18" i="36"/>
  <c r="H18" i="36" s="1"/>
  <c r="I19" i="36"/>
  <c r="H19" i="36" s="1"/>
  <c r="I20" i="36"/>
  <c r="H20" i="36" s="1"/>
  <c r="I21" i="36"/>
  <c r="H21" i="36" s="1"/>
  <c r="I22" i="36"/>
  <c r="H22" i="36" s="1"/>
  <c r="I23" i="36"/>
  <c r="H23" i="36" s="1"/>
  <c r="I24" i="36"/>
  <c r="H24" i="36" s="1"/>
  <c r="I25" i="36"/>
  <c r="H25" i="36" s="1"/>
  <c r="I4" i="36"/>
  <c r="I4" i="38"/>
  <c r="I5" i="39"/>
  <c r="I6" i="39"/>
  <c r="I7" i="39"/>
  <c r="I8" i="39"/>
  <c r="I9" i="39"/>
  <c r="I10" i="39"/>
  <c r="N10" i="39"/>
  <c r="N13" i="39"/>
  <c r="I11" i="39" s="1"/>
  <c r="I12" i="39"/>
  <c r="H12" i="39" s="1"/>
  <c r="I13" i="39"/>
  <c r="H13" i="39" s="1"/>
  <c r="I14" i="39"/>
  <c r="H14" i="39" s="1"/>
  <c r="I15" i="39"/>
  <c r="H15" i="39" s="1"/>
  <c r="I16" i="39"/>
  <c r="H16" i="39" s="1"/>
  <c r="I17" i="39"/>
  <c r="H17" i="39" s="1"/>
  <c r="I18" i="39"/>
  <c r="H18" i="39" s="1"/>
  <c r="I19" i="39"/>
  <c r="H19" i="39" s="1"/>
  <c r="I20" i="39"/>
  <c r="H20" i="39" s="1"/>
  <c r="I21" i="39"/>
  <c r="H21" i="39" s="1"/>
  <c r="I22" i="39"/>
  <c r="H22" i="39" s="1"/>
  <c r="I23" i="39"/>
  <c r="H23" i="39" s="1"/>
  <c r="I24" i="39"/>
  <c r="H24" i="39" s="1"/>
  <c r="I25" i="39"/>
  <c r="H25" i="39" s="1"/>
  <c r="I27" i="39"/>
  <c r="H27" i="39" s="1"/>
  <c r="I28" i="39"/>
  <c r="H28" i="39" s="1"/>
  <c r="I4" i="39"/>
  <c r="D29" i="39"/>
  <c r="N7" i="39"/>
  <c r="H7" i="39" s="1"/>
  <c r="N6" i="39"/>
  <c r="H6" i="39" s="1"/>
  <c r="O4" i="1"/>
  <c r="O5" i="1"/>
  <c r="O6" i="1"/>
  <c r="O7" i="1"/>
  <c r="O8" i="1"/>
  <c r="O9" i="1"/>
  <c r="O10" i="1"/>
  <c r="O11" i="1"/>
  <c r="I4" i="20"/>
  <c r="N4" i="20"/>
  <c r="I5" i="20"/>
  <c r="N5" i="20"/>
  <c r="I6" i="20"/>
  <c r="H6" i="20" s="1"/>
  <c r="N6" i="20"/>
  <c r="I7" i="20"/>
  <c r="N7" i="20"/>
  <c r="N10" i="20"/>
  <c r="N13" i="20" s="1"/>
  <c r="I8" i="20"/>
  <c r="N8" i="20"/>
  <c r="I9" i="20"/>
  <c r="N9" i="20"/>
  <c r="I10" i="20"/>
  <c r="I11" i="20"/>
  <c r="H11" i="20" s="1"/>
  <c r="N11" i="20"/>
  <c r="I12" i="20"/>
  <c r="H12" i="20" s="1"/>
  <c r="I13" i="20"/>
  <c r="H13" i="20" s="1"/>
  <c r="I14" i="20"/>
  <c r="H14" i="20" s="1"/>
  <c r="I15" i="20"/>
  <c r="H15" i="20" s="1"/>
  <c r="I16" i="20"/>
  <c r="H16" i="20" s="1"/>
  <c r="I17" i="20"/>
  <c r="H17" i="20" s="1"/>
  <c r="I18" i="20"/>
  <c r="H18" i="20" s="1"/>
  <c r="I19" i="20"/>
  <c r="H19" i="20" s="1"/>
  <c r="I20" i="20"/>
  <c r="H20" i="20" s="1"/>
  <c r="I21" i="20"/>
  <c r="H21" i="20" s="1"/>
  <c r="I22" i="20"/>
  <c r="H22" i="20" s="1"/>
  <c r="I23" i="20"/>
  <c r="H23" i="20" s="1"/>
  <c r="I24" i="20"/>
  <c r="H24" i="20" s="1"/>
  <c r="I25" i="20"/>
  <c r="H25" i="20" s="1"/>
  <c r="I27" i="20"/>
  <c r="H27" i="20" s="1"/>
  <c r="I28" i="20"/>
  <c r="H28" i="20" s="1"/>
  <c r="D29" i="20"/>
  <c r="G29" i="20"/>
  <c r="N4" i="35"/>
  <c r="H20" i="35"/>
  <c r="H22" i="35"/>
  <c r="H27" i="35"/>
  <c r="H28" i="35"/>
  <c r="D29" i="35"/>
  <c r="G29" i="35"/>
  <c r="G29" i="8"/>
  <c r="N4" i="39"/>
  <c r="N5" i="39"/>
  <c r="N8" i="39"/>
  <c r="N9" i="39"/>
  <c r="N11" i="39"/>
  <c r="G29" i="39"/>
  <c r="I4" i="24"/>
  <c r="N4" i="24"/>
  <c r="D29" i="24"/>
  <c r="G29" i="24"/>
  <c r="N8" i="28"/>
  <c r="N9" i="28"/>
  <c r="N11" i="28"/>
  <c r="D29" i="28"/>
  <c r="G29" i="28"/>
  <c r="N4" i="13"/>
  <c r="I12" i="13"/>
  <c r="H12" i="13" s="1"/>
  <c r="D29" i="13"/>
  <c r="G29" i="13"/>
  <c r="N4" i="19"/>
  <c r="H12" i="19"/>
  <c r="H13" i="19"/>
  <c r="H15" i="19"/>
  <c r="H20" i="19"/>
  <c r="H21" i="19"/>
  <c r="H22" i="19"/>
  <c r="H23" i="19"/>
  <c r="H25" i="19"/>
  <c r="H26" i="19"/>
  <c r="H27" i="19"/>
  <c r="D29" i="19"/>
  <c r="G29" i="19"/>
  <c r="N5" i="34"/>
  <c r="N7" i="34"/>
  <c r="N8" i="34"/>
  <c r="I13" i="34"/>
  <c r="H13" i="34" s="1"/>
  <c r="I14" i="34"/>
  <c r="I15" i="34"/>
  <c r="H15" i="34" s="1"/>
  <c r="I16" i="34"/>
  <c r="H16" i="34" s="1"/>
  <c r="I17" i="34"/>
  <c r="H17" i="34" s="1"/>
  <c r="I18" i="34"/>
  <c r="H18" i="34" s="1"/>
  <c r="I19" i="34"/>
  <c r="H19" i="34" s="1"/>
  <c r="I20" i="34"/>
  <c r="H20" i="34" s="1"/>
  <c r="I21" i="34"/>
  <c r="H21" i="34" s="1"/>
  <c r="I22" i="34"/>
  <c r="H22" i="34" s="1"/>
  <c r="I23" i="34"/>
  <c r="H23" i="34" s="1"/>
  <c r="I24" i="34"/>
  <c r="H24" i="34" s="1"/>
  <c r="I25" i="34"/>
  <c r="H25" i="34" s="1"/>
  <c r="I26" i="34"/>
  <c r="H26" i="34" s="1"/>
  <c r="I27" i="34"/>
  <c r="H27" i="34" s="1"/>
  <c r="D28" i="34"/>
  <c r="G28" i="34"/>
  <c r="N4" i="38"/>
  <c r="N11" i="38"/>
  <c r="D29" i="38"/>
  <c r="G29" i="38"/>
  <c r="N4" i="23"/>
  <c r="I5" i="23"/>
  <c r="N5" i="23"/>
  <c r="N6" i="23"/>
  <c r="N7" i="23"/>
  <c r="H7" i="23" s="1"/>
  <c r="I8" i="23"/>
  <c r="N8" i="23"/>
  <c r="I9" i="23"/>
  <c r="N9" i="23"/>
  <c r="I10" i="23"/>
  <c r="I7" i="23"/>
  <c r="N11" i="23"/>
  <c r="I12" i="23"/>
  <c r="H12" i="23" s="1"/>
  <c r="D29" i="23"/>
  <c r="G29" i="23"/>
  <c r="I4" i="12"/>
  <c r="N4" i="12"/>
  <c r="N11" i="12"/>
  <c r="I12" i="12"/>
  <c r="I13" i="12"/>
  <c r="I14" i="12"/>
  <c r="H14" i="12" s="1"/>
  <c r="I15" i="12"/>
  <c r="H15" i="12" s="1"/>
  <c r="I16" i="12"/>
  <c r="H16" i="12" s="1"/>
  <c r="I17" i="12"/>
  <c r="H17" i="12" s="1"/>
  <c r="I18" i="12"/>
  <c r="H18" i="12" s="1"/>
  <c r="I19" i="12"/>
  <c r="H19" i="12" s="1"/>
  <c r="I20" i="12"/>
  <c r="H20" i="12" s="1"/>
  <c r="I21" i="12"/>
  <c r="H21" i="12" s="1"/>
  <c r="I22" i="12"/>
  <c r="H22" i="12" s="1"/>
  <c r="I23" i="12"/>
  <c r="H23" i="12" s="1"/>
  <c r="I24" i="12"/>
  <c r="H24" i="12" s="1"/>
  <c r="I26" i="12"/>
  <c r="H26" i="12" s="1"/>
  <c r="I27" i="12"/>
  <c r="H27" i="12" s="1"/>
  <c r="I28" i="12"/>
  <c r="H28" i="12" s="1"/>
  <c r="D29" i="12"/>
  <c r="G29" i="12"/>
  <c r="I4" i="27"/>
  <c r="N4" i="27"/>
  <c r="I5" i="27"/>
  <c r="N5" i="27"/>
  <c r="N13" i="27"/>
  <c r="I10" i="27" s="1"/>
  <c r="I12" i="27"/>
  <c r="H12" i="27" s="1"/>
  <c r="I13" i="27"/>
  <c r="H13" i="27" s="1"/>
  <c r="I14" i="27"/>
  <c r="H14" i="27" s="1"/>
  <c r="I15" i="27"/>
  <c r="H15" i="27" s="1"/>
  <c r="I16" i="27"/>
  <c r="H16" i="27" s="1"/>
  <c r="I17" i="27"/>
  <c r="H17" i="27" s="1"/>
  <c r="I18" i="27"/>
  <c r="H18" i="27" s="1"/>
  <c r="I19" i="27"/>
  <c r="H19" i="27" s="1"/>
  <c r="I20" i="27"/>
  <c r="H20" i="27" s="1"/>
  <c r="I21" i="27"/>
  <c r="I22" i="27"/>
  <c r="H22" i="27" s="1"/>
  <c r="I24" i="27"/>
  <c r="H24" i="27" s="1"/>
  <c r="I25" i="27"/>
  <c r="H25" i="27" s="1"/>
  <c r="I26" i="27"/>
  <c r="H26" i="27" s="1"/>
  <c r="I27" i="27"/>
  <c r="H27" i="27" s="1"/>
  <c r="I28" i="27"/>
  <c r="H28" i="27" s="1"/>
  <c r="D29" i="27"/>
  <c r="G29" i="27"/>
  <c r="N4" i="18"/>
  <c r="I5" i="18"/>
  <c r="H5" i="18" s="1"/>
  <c r="N5" i="18"/>
  <c r="I6" i="18"/>
  <c r="N6" i="18"/>
  <c r="N10" i="18"/>
  <c r="N13" i="18" s="1"/>
  <c r="I8" i="18" s="1"/>
  <c r="I7" i="18"/>
  <c r="N7" i="18"/>
  <c r="N8" i="18"/>
  <c r="I9" i="18"/>
  <c r="H9" i="18" s="1"/>
  <c r="N9" i="18"/>
  <c r="I10" i="18"/>
  <c r="H10" i="18" s="1"/>
  <c r="I11" i="18"/>
  <c r="N11" i="18"/>
  <c r="I12" i="18"/>
  <c r="H12" i="18" s="1"/>
  <c r="I13" i="18"/>
  <c r="H13" i="18" s="1"/>
  <c r="I14" i="18"/>
  <c r="H14" i="18" s="1"/>
  <c r="I15" i="18"/>
  <c r="H15" i="18" s="1"/>
  <c r="I16" i="18"/>
  <c r="H16" i="18" s="1"/>
  <c r="I17" i="18"/>
  <c r="H17" i="18" s="1"/>
  <c r="I18" i="18"/>
  <c r="H18" i="18" s="1"/>
  <c r="I19" i="18"/>
  <c r="H19" i="18" s="1"/>
  <c r="I20" i="18"/>
  <c r="H20" i="18" s="1"/>
  <c r="I21" i="18"/>
  <c r="H21" i="18" s="1"/>
  <c r="I22" i="18"/>
  <c r="H22" i="18" s="1"/>
  <c r="I23" i="18"/>
  <c r="H23" i="18" s="1"/>
  <c r="I24" i="18"/>
  <c r="H24" i="18" s="1"/>
  <c r="I26" i="18"/>
  <c r="H26" i="18"/>
  <c r="I27" i="18"/>
  <c r="H27" i="18" s="1"/>
  <c r="I28" i="18"/>
  <c r="H28" i="18" s="1"/>
  <c r="D29" i="18"/>
  <c r="G29" i="18"/>
  <c r="I6" i="33"/>
  <c r="N6" i="33"/>
  <c r="I13" i="33"/>
  <c r="H13" i="33" s="1"/>
  <c r="I15" i="33"/>
  <c r="H15" i="33" s="1"/>
  <c r="I16" i="33"/>
  <c r="H16" i="33" s="1"/>
  <c r="I17" i="33"/>
  <c r="H17" i="33" s="1"/>
  <c r="I18" i="33"/>
  <c r="H18" i="33" s="1"/>
  <c r="I19" i="33"/>
  <c r="H19" i="33" s="1"/>
  <c r="I20" i="33"/>
  <c r="H20" i="33" s="1"/>
  <c r="I21" i="33"/>
  <c r="H21" i="33" s="1"/>
  <c r="I22" i="33"/>
  <c r="H22" i="33" s="1"/>
  <c r="I24" i="33"/>
  <c r="H24" i="33" s="1"/>
  <c r="I25" i="33"/>
  <c r="H25" i="33" s="1"/>
  <c r="I26" i="33"/>
  <c r="H26" i="33" s="1"/>
  <c r="I27" i="33"/>
  <c r="H27" i="33"/>
  <c r="I28" i="33"/>
  <c r="H28" i="33" s="1"/>
  <c r="D29" i="33"/>
  <c r="G29" i="33"/>
  <c r="N4" i="22"/>
  <c r="N13" i="22"/>
  <c r="I4" i="22"/>
  <c r="H4" i="22" s="1"/>
  <c r="I5" i="22"/>
  <c r="H5" i="22" s="1"/>
  <c r="N5" i="22"/>
  <c r="I12" i="22"/>
  <c r="H12" i="22" s="1"/>
  <c r="I13" i="22"/>
  <c r="H13" i="22" s="1"/>
  <c r="I14" i="22"/>
  <c r="H14" i="22" s="1"/>
  <c r="I15" i="22"/>
  <c r="H15" i="22" s="1"/>
  <c r="I16" i="22"/>
  <c r="H16" i="22" s="1"/>
  <c r="I17" i="22"/>
  <c r="H17" i="22" s="1"/>
  <c r="I18" i="22"/>
  <c r="H18" i="22" s="1"/>
  <c r="I19" i="22"/>
  <c r="H19" i="22" s="1"/>
  <c r="I20" i="22"/>
  <c r="H20" i="22" s="1"/>
  <c r="I21" i="22"/>
  <c r="H21" i="22" s="1"/>
  <c r="I22" i="22"/>
  <c r="H22" i="22" s="1"/>
  <c r="I23" i="22"/>
  <c r="H23" i="22" s="1"/>
  <c r="I24" i="22"/>
  <c r="H24" i="22" s="1"/>
  <c r="I26" i="22"/>
  <c r="H26" i="22" s="1"/>
  <c r="I27" i="22"/>
  <c r="H27" i="22" s="1"/>
  <c r="I28" i="22"/>
  <c r="H28" i="22" s="1"/>
  <c r="D29" i="22"/>
  <c r="G29" i="22"/>
  <c r="I4" i="26"/>
  <c r="N4" i="26"/>
  <c r="I5" i="26"/>
  <c r="N5" i="26"/>
  <c r="I12" i="26"/>
  <c r="H12" i="26" s="1"/>
  <c r="D29" i="26"/>
  <c r="G29" i="26"/>
  <c r="D29" i="17"/>
  <c r="G29" i="17"/>
  <c r="I4" i="32"/>
  <c r="N4" i="32"/>
  <c r="I12" i="32"/>
  <c r="H12" i="32" s="1"/>
  <c r="D29" i="32"/>
  <c r="G29" i="32"/>
  <c r="N4" i="36"/>
  <c r="N5" i="36"/>
  <c r="H5" i="36" s="1"/>
  <c r="N6" i="36"/>
  <c r="N7" i="36"/>
  <c r="N8" i="36"/>
  <c r="N9" i="36"/>
  <c r="N11" i="36"/>
  <c r="H27" i="36"/>
  <c r="H28" i="36"/>
  <c r="D29" i="36"/>
  <c r="G29" i="36"/>
  <c r="I21" i="30"/>
  <c r="H21" i="30" s="1"/>
  <c r="I22" i="30"/>
  <c r="H22" i="30" s="1"/>
  <c r="I23" i="30"/>
  <c r="H23" i="30" s="1"/>
  <c r="I24" i="30"/>
  <c r="H24" i="30" s="1"/>
  <c r="I25" i="30"/>
  <c r="H25" i="30" s="1"/>
  <c r="I26" i="30"/>
  <c r="H26" i="30" s="1"/>
  <c r="I27" i="30"/>
  <c r="H27" i="30" s="1"/>
  <c r="D28" i="30"/>
  <c r="G28" i="30"/>
  <c r="D29" i="21"/>
  <c r="G29" i="21"/>
  <c r="G29" i="9"/>
  <c r="I4" i="16"/>
  <c r="N4" i="16"/>
  <c r="I5" i="16"/>
  <c r="N5" i="16"/>
  <c r="I6" i="16"/>
  <c r="N6" i="16"/>
  <c r="I7" i="16"/>
  <c r="H7" i="16" s="1"/>
  <c r="N7" i="16"/>
  <c r="I8" i="16"/>
  <c r="H8" i="16" s="1"/>
  <c r="N8" i="16"/>
  <c r="N9" i="16"/>
  <c r="I10" i="16"/>
  <c r="N10" i="16"/>
  <c r="I11" i="16"/>
  <c r="N11" i="16"/>
  <c r="I12" i="16"/>
  <c r="H12" i="16" s="1"/>
  <c r="I13" i="16"/>
  <c r="H13" i="16" s="1"/>
  <c r="I9" i="16"/>
  <c r="I15" i="16"/>
  <c r="H15" i="16"/>
  <c r="I16" i="16"/>
  <c r="H16" i="16" s="1"/>
  <c r="I17" i="16"/>
  <c r="H17" i="16" s="1"/>
  <c r="I18" i="16"/>
  <c r="H18" i="16" s="1"/>
  <c r="I19" i="16"/>
  <c r="H19" i="16" s="1"/>
  <c r="I20" i="16"/>
  <c r="H20" i="16" s="1"/>
  <c r="I21" i="16"/>
  <c r="H21" i="16" s="1"/>
  <c r="I22" i="16"/>
  <c r="H22" i="16" s="1"/>
  <c r="I23" i="16"/>
  <c r="H23" i="16" s="1"/>
  <c r="I24" i="16"/>
  <c r="H24" i="16" s="1"/>
  <c r="I25" i="16"/>
  <c r="H25" i="16" s="1"/>
  <c r="I27" i="16"/>
  <c r="H27" i="16" s="1"/>
  <c r="I28" i="16"/>
  <c r="H28" i="16" s="1"/>
  <c r="D29" i="16"/>
  <c r="G29" i="16"/>
  <c r="I4" i="29"/>
  <c r="N4" i="29"/>
  <c r="I12" i="29"/>
  <c r="H12" i="29" s="1"/>
  <c r="I13" i="29"/>
  <c r="H13" i="29" s="1"/>
  <c r="I14" i="29"/>
  <c r="H14" i="29" s="1"/>
  <c r="I15" i="29"/>
  <c r="H15" i="29" s="1"/>
  <c r="I16" i="29"/>
  <c r="H16" i="29" s="1"/>
  <c r="I17" i="29"/>
  <c r="H17" i="29" s="1"/>
  <c r="I18" i="29"/>
  <c r="H18" i="29" s="1"/>
  <c r="I19" i="29"/>
  <c r="H19" i="29" s="1"/>
  <c r="I20" i="29"/>
  <c r="H20" i="29" s="1"/>
  <c r="I21" i="29"/>
  <c r="H21" i="29" s="1"/>
  <c r="I22" i="29"/>
  <c r="H22" i="29" s="1"/>
  <c r="I23" i="29"/>
  <c r="H23" i="29" s="1"/>
  <c r="I24" i="29"/>
  <c r="H24" i="29" s="1"/>
  <c r="I26" i="29"/>
  <c r="H26" i="29" s="1"/>
  <c r="I27" i="29"/>
  <c r="H27" i="29" s="1"/>
  <c r="I28" i="29"/>
  <c r="H28" i="29" s="1"/>
  <c r="D29" i="29"/>
  <c r="G29" i="29"/>
  <c r="M29" i="3"/>
  <c r="N29" i="3"/>
  <c r="O29" i="3"/>
  <c r="P29" i="3"/>
  <c r="Q29" i="3"/>
  <c r="R29" i="3"/>
  <c r="S29" i="3"/>
  <c r="T29" i="3"/>
  <c r="U29" i="3"/>
  <c r="V29" i="3"/>
  <c r="W29" i="3"/>
  <c r="Y29" i="3"/>
  <c r="Z29" i="3"/>
  <c r="AB29" i="3"/>
  <c r="AC29" i="3"/>
  <c r="AD29" i="3"/>
  <c r="AE29" i="3"/>
  <c r="AF29" i="3"/>
  <c r="AG29" i="3"/>
  <c r="AH29" i="3"/>
  <c r="AI29" i="3"/>
  <c r="AK20" i="4"/>
  <c r="AK27" i="4"/>
  <c r="AK8" i="4"/>
  <c r="AK17" i="4"/>
  <c r="AK5" i="4"/>
  <c r="AK3" i="4"/>
  <c r="AK12" i="4"/>
  <c r="AK23" i="4"/>
  <c r="AK15" i="4"/>
  <c r="AK16" i="4"/>
  <c r="AK7" i="4"/>
  <c r="AK11" i="4"/>
  <c r="AK10" i="4"/>
  <c r="AK13" i="4"/>
  <c r="AK18" i="4"/>
  <c r="AK24" i="4"/>
  <c r="AK14" i="4"/>
  <c r="AK21" i="4"/>
  <c r="AK22" i="4"/>
  <c r="AK6" i="4"/>
  <c r="AK9" i="4"/>
  <c r="AK19" i="4"/>
  <c r="G3" i="1"/>
  <c r="O3" i="1"/>
  <c r="P3" i="1"/>
  <c r="C4" i="1"/>
  <c r="P4" i="1"/>
  <c r="C5" i="1"/>
  <c r="P5" i="1"/>
  <c r="C6" i="1"/>
  <c r="P6" i="1"/>
  <c r="P7" i="1"/>
  <c r="P8" i="1"/>
  <c r="P9" i="1"/>
  <c r="P10" i="1"/>
  <c r="P11" i="1"/>
  <c r="P15" i="1"/>
  <c r="P16" i="1"/>
  <c r="D29" i="9"/>
  <c r="H4" i="27"/>
  <c r="AN5" i="4" l="1"/>
  <c r="H8" i="48"/>
  <c r="H6" i="8"/>
  <c r="H5" i="8"/>
  <c r="H11" i="13"/>
  <c r="H11" i="17"/>
  <c r="H4" i="17"/>
  <c r="I6" i="30"/>
  <c r="H6" i="30" s="1"/>
  <c r="I18" i="30"/>
  <c r="H5" i="16"/>
  <c r="H11" i="35"/>
  <c r="H11" i="34"/>
  <c r="H8" i="27"/>
  <c r="H9" i="12"/>
  <c r="H5" i="23"/>
  <c r="H11" i="30"/>
  <c r="H11" i="48"/>
  <c r="H8" i="21"/>
  <c r="H9" i="53"/>
  <c r="H11" i="25"/>
  <c r="H6" i="25"/>
  <c r="I6" i="19"/>
  <c r="H6" i="54"/>
  <c r="H4" i="20"/>
  <c r="H10" i="36"/>
  <c r="I14" i="19"/>
  <c r="H14" i="19" s="1"/>
  <c r="H11" i="27"/>
  <c r="I9" i="19"/>
  <c r="H5" i="54"/>
  <c r="H11" i="16"/>
  <c r="H8" i="23"/>
  <c r="H6" i="38"/>
  <c r="H10" i="21"/>
  <c r="H8" i="54"/>
  <c r="H4" i="8"/>
  <c r="H9" i="8"/>
  <c r="H6" i="28"/>
  <c r="H7" i="24"/>
  <c r="H4" i="19"/>
  <c r="H7" i="32"/>
  <c r="H7" i="29"/>
  <c r="H11" i="18"/>
  <c r="H7" i="18"/>
  <c r="H4" i="18"/>
  <c r="H8" i="20"/>
  <c r="D5" i="1"/>
  <c r="H8" i="22"/>
  <c r="H6" i="22"/>
  <c r="H11" i="21"/>
  <c r="H9" i="21"/>
  <c r="H29" i="21" s="1"/>
  <c r="H4" i="12"/>
  <c r="H8" i="39"/>
  <c r="H9" i="36"/>
  <c r="H10" i="8"/>
  <c r="H5" i="35"/>
  <c r="H8" i="35"/>
  <c r="H7" i="30"/>
  <c r="N13" i="23"/>
  <c r="H10" i="23"/>
  <c r="H7" i="17"/>
  <c r="H7" i="48"/>
  <c r="H7" i="54"/>
  <c r="H4" i="16"/>
  <c r="I13" i="30"/>
  <c r="H13" i="30" s="1"/>
  <c r="H6" i="17"/>
  <c r="H5" i="33"/>
  <c r="H11" i="29"/>
  <c r="H10" i="26"/>
  <c r="H10" i="22"/>
  <c r="H9" i="23"/>
  <c r="H4" i="39"/>
  <c r="H7" i="36"/>
  <c r="H29" i="36" s="1"/>
  <c r="H4" i="49"/>
  <c r="H7" i="35"/>
  <c r="H8" i="30"/>
  <c r="H4" i="30"/>
  <c r="H10" i="53"/>
  <c r="H9" i="54"/>
  <c r="H10" i="49"/>
  <c r="H11" i="39"/>
  <c r="H5" i="39"/>
  <c r="H6" i="36"/>
  <c r="H8" i="28"/>
  <c r="H10" i="20"/>
  <c r="H7" i="20"/>
  <c r="H4" i="38"/>
  <c r="H11" i="36"/>
  <c r="I9" i="30"/>
  <c r="H11" i="28"/>
  <c r="H9" i="17"/>
  <c r="H5" i="17"/>
  <c r="H8" i="32"/>
  <c r="H5" i="32"/>
  <c r="H9" i="29"/>
  <c r="N28" i="31"/>
  <c r="H11" i="24"/>
  <c r="H7" i="21"/>
  <c r="H7" i="19"/>
  <c r="H9" i="49"/>
  <c r="H10" i="16"/>
  <c r="H6" i="16"/>
  <c r="H4" i="24"/>
  <c r="H9" i="20"/>
  <c r="H10" i="39"/>
  <c r="H4" i="36"/>
  <c r="H4" i="35"/>
  <c r="H5" i="30"/>
  <c r="H8" i="17"/>
  <c r="H11" i="33"/>
  <c r="H7" i="27"/>
  <c r="H29" i="27" s="1"/>
  <c r="N27" i="31"/>
  <c r="H10" i="19"/>
  <c r="H5" i="26"/>
  <c r="H7" i="8"/>
  <c r="N13" i="8"/>
  <c r="I11" i="8" s="1"/>
  <c r="H11" i="8" s="1"/>
  <c r="I18" i="35"/>
  <c r="H18" i="35" s="1"/>
  <c r="H8" i="29"/>
  <c r="H7" i="13"/>
  <c r="H4" i="13"/>
  <c r="H6" i="12"/>
  <c r="H6" i="49"/>
  <c r="H9" i="25"/>
  <c r="H6" i="24"/>
  <c r="H7" i="26"/>
  <c r="H9" i="26"/>
  <c r="H8" i="26"/>
  <c r="H6" i="26"/>
  <c r="H23" i="1"/>
  <c r="H9" i="27"/>
  <c r="H6" i="27"/>
  <c r="H11" i="1"/>
  <c r="H5" i="28"/>
  <c r="H6" i="29"/>
  <c r="H5" i="29"/>
  <c r="H4" i="29"/>
  <c r="H9" i="32"/>
  <c r="H7" i="33"/>
  <c r="H8" i="33"/>
  <c r="H6" i="33"/>
  <c r="H4" i="33"/>
  <c r="D4" i="1"/>
  <c r="H6" i="34"/>
  <c r="H28" i="34" s="1"/>
  <c r="D12" i="1"/>
  <c r="H7" i="1"/>
  <c r="H3" i="1"/>
  <c r="D15" i="1"/>
  <c r="D27" i="1"/>
  <c r="H19" i="1"/>
  <c r="H20" i="1"/>
  <c r="H5" i="1"/>
  <c r="D22" i="1"/>
  <c r="D9" i="1"/>
  <c r="D20" i="1"/>
  <c r="D8" i="1"/>
  <c r="D6" i="1"/>
  <c r="D25" i="1"/>
  <c r="AN22" i="5"/>
  <c r="AN6" i="5"/>
  <c r="H24" i="1"/>
  <c r="H6" i="1"/>
  <c r="H17" i="1"/>
  <c r="H15" i="1"/>
  <c r="H14" i="1"/>
  <c r="H12" i="1"/>
  <c r="H9" i="1"/>
  <c r="H10" i="1"/>
  <c r="H8" i="1"/>
  <c r="H18" i="1"/>
  <c r="H21" i="1"/>
  <c r="H16" i="1"/>
  <c r="H22" i="1"/>
  <c r="H13" i="1"/>
  <c r="H26" i="1"/>
  <c r="H25" i="1"/>
  <c r="H4" i="1"/>
  <c r="H27" i="1"/>
  <c r="D19" i="1"/>
  <c r="D18" i="1"/>
  <c r="D14" i="1"/>
  <c r="D23" i="1"/>
  <c r="D21" i="1"/>
  <c r="D11" i="1"/>
  <c r="D26" i="1"/>
  <c r="D24" i="1"/>
  <c r="D7" i="1"/>
  <c r="D3" i="1"/>
  <c r="D16" i="1"/>
  <c r="D13" i="1"/>
  <c r="D17" i="1"/>
  <c r="D10" i="1"/>
  <c r="AN19" i="5"/>
  <c r="AN10" i="5"/>
  <c r="AN7" i="5"/>
  <c r="AN13" i="5"/>
  <c r="AN20" i="5"/>
  <c r="AN24" i="5"/>
  <c r="H5" i="53"/>
  <c r="H8" i="53"/>
  <c r="H11" i="53"/>
  <c r="H7" i="38"/>
  <c r="H8" i="38"/>
  <c r="H5" i="38"/>
  <c r="H9" i="39"/>
  <c r="H4" i="32"/>
  <c r="H10" i="32"/>
  <c r="H11" i="32"/>
  <c r="H4" i="28"/>
  <c r="H29" i="31"/>
  <c r="H9" i="30"/>
  <c r="H4" i="26"/>
  <c r="H8" i="24"/>
  <c r="H10" i="24"/>
  <c r="H7" i="25"/>
  <c r="H5" i="25"/>
  <c r="H10" i="25"/>
  <c r="H7" i="22"/>
  <c r="H29" i="22" s="1"/>
  <c r="H5" i="20"/>
  <c r="H6" i="18"/>
  <c r="H9" i="16"/>
  <c r="H10" i="13"/>
  <c r="H8" i="12"/>
  <c r="H7" i="49"/>
  <c r="H11" i="49"/>
  <c r="AN3" i="5"/>
  <c r="AN5" i="5"/>
  <c r="AN25" i="5"/>
  <c r="AN23" i="5"/>
  <c r="AN4" i="5"/>
  <c r="AK6" i="5"/>
  <c r="AN27" i="5"/>
  <c r="AN15" i="5"/>
  <c r="AN26" i="5"/>
  <c r="AL29" i="4"/>
  <c r="H9" i="35"/>
  <c r="H8" i="18"/>
  <c r="AK26" i="5"/>
  <c r="I10" i="30"/>
  <c r="H10" i="30" s="1"/>
  <c r="H10" i="35"/>
  <c r="AK3" i="5"/>
  <c r="I10" i="28"/>
  <c r="H10" i="28" s="1"/>
  <c r="I9" i="28"/>
  <c r="H9" i="28" s="1"/>
  <c r="I15" i="30"/>
  <c r="H15" i="30" s="1"/>
  <c r="AJ29" i="3"/>
  <c r="N13" i="48"/>
  <c r="H10" i="48"/>
  <c r="AK5" i="5"/>
  <c r="I4" i="54"/>
  <c r="I16" i="54"/>
  <c r="H16" i="54" s="1"/>
  <c r="I12" i="54"/>
  <c r="H12" i="54" s="1"/>
  <c r="I11" i="54"/>
  <c r="H11" i="54" s="1"/>
  <c r="I13" i="54"/>
  <c r="H13" i="54" s="1"/>
  <c r="N13" i="16"/>
  <c r="I14" i="16" s="1"/>
  <c r="H14" i="16" s="1"/>
  <c r="H29" i="16" s="1"/>
  <c r="AK10" i="5"/>
  <c r="AK22" i="5"/>
  <c r="AK23" i="5"/>
  <c r="I5" i="34"/>
  <c r="AK20" i="5"/>
  <c r="AK27" i="5"/>
  <c r="AN12" i="5"/>
  <c r="AN16" i="5"/>
  <c r="AN14" i="5"/>
  <c r="AN11" i="5"/>
  <c r="AJ9" i="5"/>
  <c r="AJ16" i="5"/>
  <c r="AJ14" i="5"/>
  <c r="AK14" i="5" s="1"/>
  <c r="AJ17" i="5"/>
  <c r="AJ18" i="5"/>
  <c r="AJ12" i="5"/>
  <c r="AK12" i="5" s="1"/>
  <c r="AJ8" i="5"/>
  <c r="AK8" i="5" s="1"/>
  <c r="H10" i="33"/>
  <c r="N13" i="32"/>
  <c r="N13" i="25"/>
  <c r="N13" i="13"/>
  <c r="AN9" i="5"/>
  <c r="AN17" i="5"/>
  <c r="AK11" i="5"/>
  <c r="AK4" i="5"/>
  <c r="AK7" i="5"/>
  <c r="AK25" i="5"/>
  <c r="AK15" i="5"/>
  <c r="AK24" i="5"/>
  <c r="AK19" i="5"/>
  <c r="N13" i="38"/>
  <c r="AJ21" i="5"/>
  <c r="AK21" i="5" s="1"/>
  <c r="H10" i="29"/>
  <c r="H10" i="54"/>
  <c r="AN18" i="5"/>
  <c r="H29" i="12" l="1"/>
  <c r="H29" i="17"/>
  <c r="H29" i="18"/>
  <c r="H29" i="8"/>
  <c r="H29" i="49"/>
  <c r="H29" i="29"/>
  <c r="H29" i="9"/>
  <c r="H29" i="19"/>
  <c r="H29" i="20"/>
  <c r="H29" i="53"/>
  <c r="I16" i="32"/>
  <c r="H16" i="32" s="1"/>
  <c r="I14" i="32"/>
  <c r="H14" i="32" s="1"/>
  <c r="H29" i="32" s="1"/>
  <c r="I10" i="38"/>
  <c r="I13" i="38"/>
  <c r="H13" i="38" s="1"/>
  <c r="I11" i="23"/>
  <c r="I4" i="23"/>
  <c r="H4" i="23" s="1"/>
  <c r="H29" i="23" s="1"/>
  <c r="I20" i="23"/>
  <c r="I6" i="23"/>
  <c r="I4" i="25"/>
  <c r="H4" i="25" s="1"/>
  <c r="I8" i="25"/>
  <c r="H8" i="25" s="1"/>
  <c r="H29" i="39"/>
  <c r="H29" i="25"/>
  <c r="H29" i="24"/>
  <c r="H29" i="26"/>
  <c r="H28" i="30"/>
  <c r="H29" i="28"/>
  <c r="H29" i="33"/>
  <c r="C24" i="5"/>
  <c r="H29" i="35"/>
  <c r="C11" i="5"/>
  <c r="C5" i="5"/>
  <c r="C23" i="5"/>
  <c r="C3" i="5"/>
  <c r="C20" i="5"/>
  <c r="C26" i="5"/>
  <c r="C27" i="5"/>
  <c r="C10" i="5"/>
  <c r="C6" i="5"/>
  <c r="C4" i="5"/>
  <c r="H28" i="54"/>
  <c r="AK9" i="5"/>
  <c r="C12" i="5" s="1"/>
  <c r="I13" i="13"/>
  <c r="H13" i="13" s="1"/>
  <c r="I8" i="13"/>
  <c r="H8" i="13" s="1"/>
  <c r="I6" i="13"/>
  <c r="H6" i="13" s="1"/>
  <c r="I15" i="13"/>
  <c r="H15" i="13" s="1"/>
  <c r="AK18" i="5"/>
  <c r="AK16" i="5"/>
  <c r="C21" i="5"/>
  <c r="I9" i="48"/>
  <c r="H9" i="48" s="1"/>
  <c r="I13" i="48"/>
  <c r="H13" i="48" s="1"/>
  <c r="I6" i="48"/>
  <c r="I5" i="48"/>
  <c r="H5" i="48" s="1"/>
  <c r="I14" i="48"/>
  <c r="H14" i="48" s="1"/>
  <c r="I11" i="38"/>
  <c r="H11" i="38" s="1"/>
  <c r="I15" i="38"/>
  <c r="H15" i="38" s="1"/>
  <c r="I18" i="38"/>
  <c r="H18" i="38" s="1"/>
  <c r="C19" i="5"/>
  <c r="AK17" i="5"/>
  <c r="C14" i="5" s="1"/>
  <c r="C18" i="5" l="1"/>
  <c r="C9" i="5"/>
  <c r="L4" i="1"/>
  <c r="C17" i="5"/>
  <c r="C25" i="5"/>
  <c r="L25" i="1" s="1"/>
  <c r="C15" i="5"/>
  <c r="C13" i="5"/>
  <c r="C7" i="5"/>
  <c r="C16" i="5"/>
  <c r="C8" i="5"/>
  <c r="C22" i="5"/>
  <c r="L5" i="1"/>
  <c r="L19" i="1"/>
  <c r="L27" i="1"/>
  <c r="H29" i="38"/>
  <c r="H29" i="13"/>
  <c r="H29" i="48"/>
  <c r="L17" i="1" l="1"/>
  <c r="L8" i="1"/>
  <c r="L15" i="1"/>
  <c r="L11" i="1"/>
  <c r="L13" i="1"/>
  <c r="L18" i="1"/>
  <c r="L7" i="1"/>
  <c r="L22" i="1"/>
  <c r="L9" i="1"/>
  <c r="L23" i="1"/>
  <c r="L21" i="1"/>
  <c r="L10" i="1"/>
  <c r="L3" i="1"/>
  <c r="L24" i="1"/>
  <c r="L20" i="1"/>
  <c r="L6" i="1"/>
  <c r="L14" i="1"/>
  <c r="L12" i="1"/>
  <c r="L26" i="1"/>
  <c r="L16" i="1"/>
</calcChain>
</file>

<file path=xl/sharedStrings.xml><?xml version="1.0" encoding="utf-8"?>
<sst xmlns="http://schemas.openxmlformats.org/spreadsheetml/2006/main" count="1920" uniqueCount="306">
  <si>
    <t>POINT</t>
  </si>
  <si>
    <t>MONEY</t>
  </si>
  <si>
    <t>PUTS</t>
  </si>
  <si>
    <t>NÆRMEST FLAGET</t>
  </si>
  <si>
    <t>LÆNGSTE DRIVE</t>
  </si>
  <si>
    <t>Inngolf Banerekorder:</t>
  </si>
  <si>
    <t>Fornavn</t>
  </si>
  <si>
    <t>Handicap</t>
  </si>
  <si>
    <t>Bo Hansen</t>
  </si>
  <si>
    <t>Bo H</t>
  </si>
  <si>
    <t>Børge Heiberg</t>
  </si>
  <si>
    <t>Børge H</t>
  </si>
  <si>
    <t>Carsten Dahl</t>
  </si>
  <si>
    <t>Carsten D</t>
  </si>
  <si>
    <t>Carsten Lund</t>
  </si>
  <si>
    <t>Carsten L</t>
  </si>
  <si>
    <t>Claus Jessen</t>
  </si>
  <si>
    <t>Claus J</t>
  </si>
  <si>
    <t>Erik M. Pedersen</t>
  </si>
  <si>
    <t>Erik P</t>
  </si>
  <si>
    <t>Finn E. Christensen</t>
  </si>
  <si>
    <t>Finn EC</t>
  </si>
  <si>
    <t>Hans Martin Vestergaard</t>
  </si>
  <si>
    <t>Hans MV</t>
  </si>
  <si>
    <t>Henning B. Nielsen</t>
  </si>
  <si>
    <t>Henning B</t>
  </si>
  <si>
    <t>Henning Vestergaard</t>
  </si>
  <si>
    <t>Henning V</t>
  </si>
  <si>
    <t>Jakob Kristensen</t>
  </si>
  <si>
    <t>Jakob K</t>
  </si>
  <si>
    <t>Jan Hegner</t>
  </si>
  <si>
    <t>Jan H</t>
  </si>
  <si>
    <t>Jens Laigaard</t>
  </si>
  <si>
    <t>Jens L</t>
  </si>
  <si>
    <t>Jesper Vohs Nielsen</t>
  </si>
  <si>
    <t>Jesper VN</t>
  </si>
  <si>
    <t>John Sørensen</t>
  </si>
  <si>
    <t>John S</t>
  </si>
  <si>
    <t>Karsten Valeur</t>
  </si>
  <si>
    <t>Karsten V</t>
  </si>
  <si>
    <t>Martin Andersen</t>
  </si>
  <si>
    <t>Martin A</t>
  </si>
  <si>
    <t>Morten Clausen</t>
  </si>
  <si>
    <t>Morten C</t>
  </si>
  <si>
    <t>Ole Malmskov</t>
  </si>
  <si>
    <t>Ole M</t>
  </si>
  <si>
    <t>Per Nørsten</t>
  </si>
  <si>
    <t>Per N</t>
  </si>
  <si>
    <t>Robin Thybo</t>
  </si>
  <si>
    <t>Robin T</t>
  </si>
  <si>
    <t>Thorkild Jensen</t>
  </si>
  <si>
    <t>Thorkild J</t>
  </si>
  <si>
    <t>Torben Jacobsen</t>
  </si>
  <si>
    <t>Torben J</t>
  </si>
  <si>
    <t>Money List</t>
  </si>
  <si>
    <t>Samlet</t>
  </si>
  <si>
    <t xml:space="preserve">Runder spillet                     </t>
  </si>
  <si>
    <t>Kontrol:</t>
  </si>
  <si>
    <t xml:space="preserve"> Inngolf Ranking</t>
  </si>
  <si>
    <t>Tællende</t>
  </si>
  <si>
    <t>Min. tællende</t>
  </si>
  <si>
    <t>1. pladser</t>
  </si>
  <si>
    <t xml:space="preserve">    Puts</t>
  </si>
  <si>
    <t>Gen.snit</t>
  </si>
  <si>
    <t>Putte-rund.</t>
  </si>
  <si>
    <t>Med 37 puts</t>
  </si>
  <si>
    <t>Runder tæller</t>
  </si>
  <si>
    <t>Når der spilles mindre end 18 huller, udregnes put antal ud fra gennemsnittet af de spillede huller</t>
  </si>
  <si>
    <t>De dårligste streges (markeret med rød tekst hvis man har spillet over 18 runder.</t>
  </si>
  <si>
    <t>Manglende runder op til 18 udregnet efter 37 puts!</t>
  </si>
  <si>
    <t xml:space="preserve">                Tættest Flaget</t>
  </si>
  <si>
    <t>Længste Drive</t>
  </si>
  <si>
    <t>Afstand i m</t>
  </si>
  <si>
    <t>Hul</t>
  </si>
  <si>
    <t>Dato</t>
  </si>
  <si>
    <t>Bane</t>
  </si>
  <si>
    <t>18 huller</t>
  </si>
  <si>
    <t>Spiller</t>
  </si>
  <si>
    <t>HCP</t>
  </si>
  <si>
    <t>Slag / point</t>
  </si>
  <si>
    <t>Puts</t>
  </si>
  <si>
    <t>Tættest Flaget</t>
  </si>
  <si>
    <t>Placering</t>
  </si>
  <si>
    <t>Point</t>
  </si>
  <si>
    <t>Sign on fee          + $-præmie</t>
  </si>
  <si>
    <t>$</t>
  </si>
  <si>
    <t>1 (25%)</t>
  </si>
  <si>
    <t>2 (20%)</t>
  </si>
  <si>
    <t>3 (15%)</t>
  </si>
  <si>
    <t>4 (12%)</t>
  </si>
  <si>
    <t>5 (10%)</t>
  </si>
  <si>
    <t>6 (8%)</t>
  </si>
  <si>
    <t>7 (6%)</t>
  </si>
  <si>
    <t>8 (4%)</t>
  </si>
  <si>
    <t>Præmiesum i $:</t>
  </si>
  <si>
    <t>Tæt. Flag ($= 7. pl)</t>
  </si>
  <si>
    <t>Puts er omregnet til 18 huller</t>
  </si>
  <si>
    <t>Antal huller
spillet</t>
  </si>
  <si>
    <t>Omregnet
til</t>
  </si>
  <si>
    <t>-</t>
  </si>
  <si>
    <t>Makker</t>
  </si>
  <si>
    <t>Money</t>
  </si>
  <si>
    <t>2 x</t>
  </si>
  <si>
    <t>Hold</t>
  </si>
  <si>
    <t>4x</t>
  </si>
  <si>
    <t>Slag</t>
  </si>
  <si>
    <t>Putts</t>
  </si>
  <si>
    <t>US Open</t>
  </si>
  <si>
    <t>FedEx St. Jude Classic</t>
  </si>
  <si>
    <t>The Players Championship</t>
  </si>
  <si>
    <t>Wells Fargo Championship</t>
  </si>
  <si>
    <t>Zürich Classic of New Orleans</t>
  </si>
  <si>
    <t>Valero Texas Open</t>
  </si>
  <si>
    <t>Shell Houston Open</t>
  </si>
  <si>
    <t>Preseason</t>
  </si>
  <si>
    <t>Start</t>
  </si>
  <si>
    <t>Præmie</t>
  </si>
  <si>
    <t>Match</t>
  </si>
  <si>
    <t>Bemærk</t>
  </si>
  <si>
    <t>Stableford</t>
  </si>
  <si>
    <t>Warm-Up</t>
  </si>
  <si>
    <t>Regular Season</t>
  </si>
  <si>
    <t>Ikke 18 huller</t>
  </si>
  <si>
    <t>MASTERS TOURNAMENT</t>
  </si>
  <si>
    <t>Slagspil</t>
  </si>
  <si>
    <t>2x5.000.000</t>
  </si>
  <si>
    <t>Matchkomite</t>
  </si>
  <si>
    <t>International Tours</t>
  </si>
  <si>
    <t>Udenlands turnering</t>
  </si>
  <si>
    <t>Starttid</t>
  </si>
  <si>
    <t>Vinder</t>
  </si>
  <si>
    <t>P</t>
  </si>
  <si>
    <t>Tættest flaget</t>
  </si>
  <si>
    <t>Sløjfe</t>
  </si>
  <si>
    <t>Vinterbane</t>
  </si>
  <si>
    <t>Største</t>
  </si>
  <si>
    <t>Valspar Championship</t>
  </si>
  <si>
    <t>m</t>
  </si>
  <si>
    <t>Antal deltagere</t>
  </si>
  <si>
    <t>DGU-nr</t>
  </si>
  <si>
    <t>the Memorial Tournament</t>
  </si>
  <si>
    <t>Wyndham Championship</t>
  </si>
  <si>
    <t>InnGolf Captains Cup</t>
  </si>
  <si>
    <t>Bøder</t>
  </si>
  <si>
    <t>Bøder kr.</t>
  </si>
  <si>
    <t>De 18 bedste resultater tæller, resten udgår (felter markeret med rød tekst)</t>
  </si>
  <si>
    <t>Skoven-Sletten: Dan 75 slag 24/3-05      Sletten-Ådalen: Stig 74 slag 21/7-05      Ådalen-Skoven: Dan 78 slag 28/7-05     Udenbys: Robin 73 slag 29/8-15</t>
  </si>
  <si>
    <t>Steen Nybo</t>
  </si>
  <si>
    <t>Steen N</t>
  </si>
  <si>
    <t xml:space="preserve">The Greenbrier Classic </t>
  </si>
  <si>
    <t>Made in Denmark</t>
  </si>
  <si>
    <t>Matchform</t>
  </si>
  <si>
    <t>*Holdspil</t>
  </si>
  <si>
    <t>Udenbystur</t>
  </si>
  <si>
    <t>Superrunde/spisning</t>
  </si>
  <si>
    <t>Skoven-Sletten: Henning V. 13 points 5/7-12 (hvid tee)      Sletten-Ådalen: Henning BN 13 points 9/4-15 &amp; Martin A 13 point 7/4-16      Ådalen-Skoven: Torben C. 11 points 29/4-10</t>
  </si>
  <si>
    <t>* Tee 52</t>
  </si>
  <si>
    <t>* Tee 46</t>
  </si>
  <si>
    <t>Kristian Dam</t>
  </si>
  <si>
    <t>Tour Championship</t>
  </si>
  <si>
    <t xml:space="preserve">RBC Heritage </t>
  </si>
  <si>
    <t xml:space="preserve">Valero Texas Open </t>
  </si>
  <si>
    <t xml:space="preserve">Zurich Classic of New Orleans </t>
  </si>
  <si>
    <t xml:space="preserve">Wells Fargo Championship </t>
  </si>
  <si>
    <t xml:space="preserve">THE PLAYERS Championship </t>
  </si>
  <si>
    <t xml:space="preserve">AT&amp;T Byron Nelson </t>
  </si>
  <si>
    <t xml:space="preserve">the Memorial Tournament presented by Nationwide </t>
  </si>
  <si>
    <t xml:space="preserve">FedEx St. Jude Classic </t>
  </si>
  <si>
    <t xml:space="preserve">Travelers Championship </t>
  </si>
  <si>
    <t xml:space="preserve">Quicken Loans National </t>
  </si>
  <si>
    <t xml:space="preserve">John Deere Classic </t>
  </si>
  <si>
    <t xml:space="preserve">RBC Canadian Open </t>
  </si>
  <si>
    <t xml:space="preserve">Wyndham Championship </t>
  </si>
  <si>
    <t xml:space="preserve">BMW Championship </t>
  </si>
  <si>
    <t xml:space="preserve">TOUR Championship </t>
  </si>
  <si>
    <t>Arnold Palmer Invitational presented by Mastercard</t>
  </si>
  <si>
    <t>TBA</t>
  </si>
  <si>
    <t>Udenbystur II</t>
  </si>
  <si>
    <t xml:space="preserve">WGC - Bridgestone Invitational </t>
  </si>
  <si>
    <t xml:space="preserve">WGC - Dell Technologies Match Play </t>
  </si>
  <si>
    <t>15. sæson - i alt 31 tællende turneringer</t>
  </si>
  <si>
    <t>Kristian D</t>
  </si>
  <si>
    <t>SS</t>
  </si>
  <si>
    <t>SÅ</t>
  </si>
  <si>
    <t>ÅS</t>
  </si>
  <si>
    <t>Tee 52</t>
  </si>
  <si>
    <t>Tee 46</t>
  </si>
  <si>
    <t>Holdmatch</t>
  </si>
  <si>
    <t>U.S. OPEN</t>
  </si>
  <si>
    <t>THE OPEN</t>
  </si>
  <si>
    <t xml:space="preserve">PGA CHAMPIONSHIP </t>
  </si>
  <si>
    <t>Ådalen 2</t>
  </si>
  <si>
    <t>Ådalen 4</t>
  </si>
  <si>
    <t>Travelers Championship</t>
  </si>
  <si>
    <t>The Greenbrier Classic</t>
  </si>
  <si>
    <t>John Deere Classic</t>
  </si>
  <si>
    <t>The Open</t>
  </si>
  <si>
    <t>WGC Bridgestone Invitational</t>
  </si>
  <si>
    <t>PGA Championship</t>
  </si>
  <si>
    <t>Superrunde/fest</t>
  </si>
  <si>
    <t>BMW Championship</t>
  </si>
  <si>
    <t xml:space="preserve">INNGOLF RANGLISTEN 2018 </t>
  </si>
  <si>
    <t>The InnGolf Final 2018</t>
  </si>
  <si>
    <t>Inngolf PGA Tour 2018 - Lørdag den 10/10 - 27 huller stableford Ådalen-Skoven-Sletten</t>
  </si>
  <si>
    <t>Inngolf PGA Tour 2018 - Torsdag den 30. marts - 18 huller Stableford -  Skoven/Sletten (Vinterbane)</t>
  </si>
  <si>
    <t>InnGolf Tourplan 2018</t>
  </si>
  <si>
    <t>InnGolf Tourvinder 2018</t>
  </si>
  <si>
    <t>Inngolf PGA Tour 2018 - Torsdag den 5. april - 18 huller Stableford - Sletten/Ådalen</t>
  </si>
  <si>
    <t>Skoven 5</t>
  </si>
  <si>
    <t>Houston Open - AFLYST</t>
  </si>
  <si>
    <t>The Northern Trust</t>
  </si>
  <si>
    <t>InnGolf Closed</t>
  </si>
  <si>
    <t>Ryder Cup</t>
  </si>
  <si>
    <t>InnGolf Invitational</t>
  </si>
  <si>
    <t>Inngolf PGA Tour 2018 - Torsdag den 19/4 - 18 huller Stableford - Skoven/Sletten</t>
  </si>
  <si>
    <t>RTD</t>
  </si>
  <si>
    <t>Inngolf PGA Tour 2018 - Torsdag den 26/4 - 18 huller Stableford - Sletten/Ådalen</t>
  </si>
  <si>
    <t>Inngolf PGA Tour 2018 - Torsdag den 3/5 - 18 huller slagspil - Ådalen/Skoven</t>
  </si>
  <si>
    <t>Inngolf PGA Tour 2018 - Torsdag den 12. april - 18 huller Stableford -  Skoven/Sletten</t>
  </si>
  <si>
    <t>Skoven 8</t>
  </si>
  <si>
    <t>Inngolf PGA Tour 2018 - Torsdag den 10/5 - 18 huller Slagspil - Skoven/Sletten</t>
  </si>
  <si>
    <t>AT&amp;T Byron Nelson</t>
  </si>
  <si>
    <t>Inngolf PGA Tour 2018 - Torsdag den 17/5 - 18 huller Stableford - Sletten/Ådalen</t>
  </si>
  <si>
    <t>Fort Worth Invitational</t>
  </si>
  <si>
    <t>Inngolf PGA Tour 2018 - Torsdag den 24/5 - 18 huller Slagspil - Ådalen/Skoven</t>
  </si>
  <si>
    <t xml:space="preserve">Fort Worth Invitational </t>
  </si>
  <si>
    <t>Three Hill Invitational</t>
  </si>
  <si>
    <t>Inngolf PGA Tour 2018 - Torsdag den 31/56 - 18 huller Stableford - Skoven/Sletten</t>
  </si>
  <si>
    <t>Inngolf PGA Tour 2018 - Lørdag den 2/6 formiddag - 9 huller Texas Scramble - Trehøje East Course</t>
  </si>
  <si>
    <t>Inngolf PGA Tour 2018 - Lørdag den 2/6 eftermiddag - 18 huller Stableford - Trehøje Course</t>
  </si>
  <si>
    <t>Thomas Lund</t>
  </si>
  <si>
    <t>Pedro</t>
  </si>
  <si>
    <t>Three Hill Team Championship</t>
  </si>
  <si>
    <t>L.D.</t>
  </si>
  <si>
    <t>Gæst</t>
  </si>
  <si>
    <t>Three Hill</t>
  </si>
  <si>
    <t>Three Hill 7</t>
  </si>
  <si>
    <t>Three Hill 17</t>
  </si>
  <si>
    <t>02/06 a</t>
  </si>
  <si>
    <t>02/06 b</t>
  </si>
  <si>
    <t>02/06b</t>
  </si>
  <si>
    <t>02/06a</t>
  </si>
  <si>
    <t>34 p</t>
  </si>
  <si>
    <t>37 p</t>
  </si>
  <si>
    <t>40 p</t>
  </si>
  <si>
    <t>Inngolf PGA Tour 2018 - Torsdag den 7/6 - 18 huller Stableford - Sletten/Ådalen</t>
  </si>
  <si>
    <t>2 x TH</t>
  </si>
  <si>
    <t>Inngolf PGA Tour 2018 - Torsdag den 14/6 - 18 huller slagspil, Ådalen/Skoven</t>
  </si>
  <si>
    <t>Inngolf PGA Tour 2018 - Torsdag den 21/6 - 18 huller stableford - Skoven/Sletten</t>
  </si>
  <si>
    <t>Inngolf PGA Tour 2018 - Torsdag den 28/6 - 18 huller Stableford - Sletten/Ådalen</t>
  </si>
  <si>
    <t>Inngolf PGA Tour 2018 - Torsdag den 5/7 - 18 huller stableford - Ådalen/Skoven</t>
  </si>
  <si>
    <t>38 p</t>
  </si>
  <si>
    <t>35 p</t>
  </si>
  <si>
    <t>Inngolf PGA Tour 2018 - Torsdag den 12/7 - 18 huller Stableford, Skoven/Sletten</t>
  </si>
  <si>
    <t>Inngolf PGA Tour 2018 - Torsdag den 19/7 - 18 huller Slagspil - Sletten/Ådalen</t>
  </si>
  <si>
    <t>Inngolf PGA Tour 2018 - Torsdag den 26/7 - 18 huller Stableford Ådalen/Skoven</t>
  </si>
  <si>
    <t>Inngolf PGA Tour 2018 - Torsdag den 2/8 - 18 huller Stableford - Skoven/Sletten</t>
  </si>
  <si>
    <t>Sletten 4</t>
  </si>
  <si>
    <t>Sletten 6</t>
  </si>
  <si>
    <t>Sletten 9</t>
  </si>
  <si>
    <t>36</t>
  </si>
  <si>
    <t>Inngolf PGA Tour 2018 - Torsdag den 10/8 - 17 huller slagspil - Sletten / Ådalen</t>
  </si>
  <si>
    <t>34</t>
  </si>
  <si>
    <t>39</t>
  </si>
  <si>
    <t>46</t>
  </si>
  <si>
    <t>Inngolf PGA Tour 2018 - Torsdag den 16/8 - 18 huller Stableford - Ådalen/Skoven (Tee 46 M)</t>
  </si>
  <si>
    <t>38</t>
  </si>
  <si>
    <t>37</t>
  </si>
  <si>
    <t>43</t>
  </si>
  <si>
    <t>Inngolf PGA Tour 2018 - Torsdag den 23/8 - 18 huller holdspil - Skoven/Sletten</t>
  </si>
  <si>
    <t>Pedro I</t>
  </si>
  <si>
    <t>Pedro II</t>
  </si>
  <si>
    <t>Pedro III</t>
  </si>
  <si>
    <t>Inngolf PGA Tour 2018 - Torsdag den 30/8 - 18 huller Stableford - Sletten/Ådalen</t>
  </si>
  <si>
    <t>40</t>
  </si>
  <si>
    <t>44</t>
  </si>
  <si>
    <t>Inngolf PGA Tour 2018 - Torsdag den 6/9 - 18 huller Stableford Ådalen/Skoven</t>
  </si>
  <si>
    <t>Inngolf PGA Tour 2018 - Lørdag den 8/9 - 18 huller Stableford, Golfplatz Seeschlöschen - Nordplatz</t>
  </si>
  <si>
    <t>Inngolf PGA Tour 2018 - Søndag den 9/9 - 18 huller Stableford, Golfplatz Seeschlöschen - Südplatz</t>
  </si>
  <si>
    <t>Seeschlösschen Abkühlen</t>
  </si>
  <si>
    <t>Seeschlösschen Meisterschaft</t>
  </si>
  <si>
    <t>41 p</t>
  </si>
  <si>
    <t>67 s</t>
  </si>
  <si>
    <t>Ingen</t>
  </si>
  <si>
    <t>62 s</t>
  </si>
  <si>
    <t>Børge, Claus, Morten, Carsten</t>
  </si>
  <si>
    <t>Claus</t>
  </si>
  <si>
    <t>Ådalen 8</t>
  </si>
  <si>
    <t>41</t>
  </si>
  <si>
    <t>TF+LD</t>
  </si>
  <si>
    <t>LD</t>
  </si>
  <si>
    <t>Tyskland</t>
  </si>
  <si>
    <t>Nordplatz 3</t>
  </si>
  <si>
    <t>Südplatz 14</t>
  </si>
  <si>
    <t>Südplatz 7</t>
  </si>
  <si>
    <t>Südplatz 16</t>
  </si>
  <si>
    <t>42</t>
  </si>
  <si>
    <t>35</t>
  </si>
  <si>
    <t>33</t>
  </si>
  <si>
    <t>Inngolf PGA Tour 2018 - Torsdag den 13/9 - 16 huller stableford Skoven-Sletten</t>
  </si>
  <si>
    <t>InnGolf - Ladies tour</t>
  </si>
  <si>
    <t>Inngolf PGA Tour 2018 - Torsdag den 20/9 - 16 huller stableford Sletten-Ådalen</t>
  </si>
  <si>
    <t>Inngolf PGA Tour 2018 - Torsdag den 27/9 - 18 huller stableford Ådalen-Skoven</t>
  </si>
  <si>
    <t>1</t>
  </si>
  <si>
    <t>39 p</t>
  </si>
  <si>
    <t>Inngolf PGA Tour 2018 - Torsdag den 5/10 - 13 huller stableford Skoven-Sletten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</si>
</sst>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"/>
    <numFmt numFmtId="166" formatCode="dd\-mm"/>
  </numFmts>
  <fonts count="53" x14ac:knownFonts="1">
    <font>
      <sz val="10"/>
      <name val="Arial"/>
    </font>
    <font>
      <sz val="12"/>
      <color indexed="8"/>
      <name val="Calibri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color indexed="55"/>
      <name val="Arial"/>
      <family val="2"/>
    </font>
    <font>
      <sz val="12"/>
      <color indexed="55"/>
      <name val="Arial"/>
      <family val="2"/>
    </font>
    <font>
      <sz val="12"/>
      <color indexed="9"/>
      <name val="Arial"/>
      <family val="2"/>
    </font>
    <font>
      <sz val="10"/>
      <color indexed="22"/>
      <name val="Arial"/>
      <family val="2"/>
    </font>
    <font>
      <sz val="10"/>
      <color indexed="8"/>
      <name val="Arial"/>
      <family val="2"/>
    </font>
    <font>
      <b/>
      <sz val="16"/>
      <color indexed="22"/>
      <name val="Arial"/>
      <family val="2"/>
    </font>
    <font>
      <b/>
      <sz val="16"/>
      <color indexed="8"/>
      <name val="Arial"/>
      <family val="2"/>
    </font>
    <font>
      <sz val="12"/>
      <color indexed="22"/>
      <name val="Arial"/>
      <family val="2"/>
    </font>
    <font>
      <sz val="12"/>
      <color indexed="8"/>
      <name val="Arial"/>
      <family val="2"/>
    </font>
    <font>
      <sz val="9"/>
      <color indexed="22"/>
      <name val="Arial"/>
      <family val="2"/>
    </font>
    <font>
      <sz val="9"/>
      <color indexed="8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sz val="8"/>
      <color indexed="55"/>
      <name val="Arial"/>
      <family val="2"/>
    </font>
    <font>
      <sz val="8"/>
      <name val="Verdana"/>
      <family val="2"/>
    </font>
    <font>
      <sz val="14"/>
      <name val="Arial"/>
      <family val="2"/>
    </font>
    <font>
      <b/>
      <sz val="26"/>
      <name val="Arial"/>
      <family val="2"/>
    </font>
    <font>
      <sz val="11"/>
      <color indexed="9"/>
      <name val="Arial"/>
      <family val="2"/>
    </font>
    <font>
      <sz val="11"/>
      <color indexed="55"/>
      <name val="Arial"/>
      <family val="2"/>
    </font>
    <font>
      <sz val="11"/>
      <color indexed="22"/>
      <name val="Arial"/>
      <family val="2"/>
    </font>
    <font>
      <b/>
      <sz val="22"/>
      <color indexed="6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0"/>
      <name val="Arial"/>
      <family val="2"/>
    </font>
    <font>
      <sz val="11"/>
      <name val="VU Arial"/>
      <family val="2"/>
    </font>
    <font>
      <b/>
      <sz val="12"/>
      <color theme="0"/>
      <name val="Calibri"/>
      <family val="2"/>
    </font>
    <font>
      <sz val="11"/>
      <color theme="0" tint="-0.34998626667073579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22"/>
      <color rgb="FF008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8"/>
        <bgColor indexed="58"/>
      </patternFill>
    </fill>
    <fill>
      <patternFill patternType="solid">
        <fgColor indexed="42"/>
        <bgColor indexed="27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00800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8000"/>
        <bgColor indexed="30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4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0" xfId="0" applyFo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textRotation="90"/>
      <protection locked="0"/>
    </xf>
    <xf numFmtId="49" fontId="4" fillId="0" borderId="0" xfId="0" applyNumberFormat="1" applyFont="1" applyBorder="1" applyAlignment="1" applyProtection="1">
      <alignment textRotation="90"/>
    </xf>
    <xf numFmtId="49" fontId="4" fillId="2" borderId="1" xfId="0" applyNumberFormat="1" applyFont="1" applyFill="1" applyBorder="1" applyAlignment="1" applyProtection="1">
      <alignment horizontal="center" textRotation="90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49" fontId="4" fillId="2" borderId="2" xfId="0" applyNumberFormat="1" applyFont="1" applyFill="1" applyBorder="1" applyAlignment="1" applyProtection="1">
      <alignment horizontal="center" textRotation="90"/>
      <protection locked="0"/>
    </xf>
    <xf numFmtId="49" fontId="13" fillId="2" borderId="2" xfId="0" applyNumberFormat="1" applyFont="1" applyFill="1" applyBorder="1" applyAlignment="1" applyProtection="1">
      <alignment horizontal="center" textRotation="90"/>
    </xf>
    <xf numFmtId="49" fontId="4" fillId="0" borderId="0" xfId="0" applyNumberFormat="1" applyFont="1" applyBorder="1" applyAlignment="1" applyProtection="1">
      <alignment textRotation="90"/>
      <protection locked="0"/>
    </xf>
    <xf numFmtId="0" fontId="4" fillId="0" borderId="0" xfId="0" applyFont="1" applyBorder="1" applyProtection="1">
      <protection locked="0"/>
    </xf>
    <xf numFmtId="0" fontId="18" fillId="0" borderId="0" xfId="0" applyFont="1" applyProtection="1">
      <protection locked="0"/>
    </xf>
    <xf numFmtId="3" fontId="21" fillId="0" borderId="0" xfId="0" applyNumberFormat="1" applyFont="1" applyAlignment="1" applyProtection="1">
      <alignment horizontal="left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textRotation="90"/>
      <protection locked="0"/>
    </xf>
    <xf numFmtId="49" fontId="21" fillId="0" borderId="0" xfId="0" applyNumberFormat="1" applyFont="1" applyAlignment="1" applyProtection="1">
      <alignment textRotation="90"/>
      <protection locked="0"/>
    </xf>
    <xf numFmtId="1" fontId="0" fillId="0" borderId="1" xfId="0" applyNumberFormat="1" applyFont="1" applyBorder="1" applyProtection="1">
      <protection locked="0"/>
    </xf>
    <xf numFmtId="1" fontId="9" fillId="0" borderId="1" xfId="0" applyNumberFormat="1" applyFont="1" applyBorder="1" applyProtection="1"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1" fontId="4" fillId="0" borderId="0" xfId="0" applyNumberFormat="1" applyFont="1" applyBorder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textRotation="90"/>
      <protection locked="0"/>
    </xf>
    <xf numFmtId="49" fontId="4" fillId="0" borderId="0" xfId="0" applyNumberFormat="1" applyFont="1" applyBorder="1" applyAlignment="1" applyProtection="1">
      <alignment horizontal="center" textRotation="90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wrapText="1"/>
    </xf>
    <xf numFmtId="1" fontId="26" fillId="3" borderId="6" xfId="0" applyNumberFormat="1" applyFont="1" applyFill="1" applyBorder="1" applyAlignment="1">
      <alignment horizontal="left" vertical="center"/>
    </xf>
    <xf numFmtId="1" fontId="26" fillId="3" borderId="7" xfId="0" applyNumberFormat="1" applyFont="1" applyFill="1" applyBorder="1" applyAlignment="1">
      <alignment horizontal="center" vertical="center"/>
    </xf>
    <xf numFmtId="1" fontId="26" fillId="3" borderId="5" xfId="0" applyNumberFormat="1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0" fillId="0" borderId="0" xfId="0" applyFont="1" applyFill="1"/>
    <xf numFmtId="1" fontId="4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0" fontId="20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" fontId="30" fillId="0" borderId="0" xfId="0" applyNumberFormat="1" applyFont="1" applyAlignment="1">
      <alignment horizontal="center"/>
    </xf>
    <xf numFmtId="0" fontId="30" fillId="0" borderId="0" xfId="0" applyFont="1"/>
    <xf numFmtId="3" fontId="30" fillId="0" borderId="0" xfId="0" applyNumberFormat="1" applyFont="1"/>
    <xf numFmtId="0" fontId="2" fillId="0" borderId="12" xfId="0" applyFont="1" applyFill="1" applyBorder="1" applyAlignment="1">
      <alignment horizontal="left" vertical="center" wrapText="1" indent="1"/>
    </xf>
    <xf numFmtId="0" fontId="16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3" fontId="6" fillId="0" borderId="12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 indent="1"/>
    </xf>
    <xf numFmtId="3" fontId="6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 indent="1"/>
    </xf>
    <xf numFmtId="3" fontId="6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 indent="1"/>
    </xf>
    <xf numFmtId="3" fontId="6" fillId="0" borderId="18" xfId="0" applyNumberFormat="1" applyFont="1" applyFill="1" applyBorder="1" applyAlignment="1" applyProtection="1">
      <alignment horizontal="center" vertical="center" wrapText="1"/>
    </xf>
    <xf numFmtId="3" fontId="6" fillId="0" borderId="14" xfId="0" applyNumberFormat="1" applyFont="1" applyFill="1" applyBorder="1" applyAlignment="1" applyProtection="1">
      <alignment horizontal="right" vertical="center" wrapText="1" indent="2"/>
    </xf>
    <xf numFmtId="3" fontId="0" fillId="0" borderId="5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3" fontId="6" fillId="0" borderId="16" xfId="0" applyNumberFormat="1" applyFont="1" applyFill="1" applyBorder="1" applyAlignment="1" applyProtection="1">
      <alignment horizontal="right" vertical="center" wrapText="1" indent="2"/>
    </xf>
    <xf numFmtId="3" fontId="6" fillId="0" borderId="18" xfId="0" applyNumberFormat="1" applyFont="1" applyFill="1" applyBorder="1" applyAlignment="1" applyProtection="1">
      <alignment horizontal="right" vertical="center" wrapText="1" indent="2"/>
    </xf>
    <xf numFmtId="3" fontId="6" fillId="0" borderId="12" xfId="0" applyNumberFormat="1" applyFont="1" applyFill="1" applyBorder="1" applyAlignment="1" applyProtection="1">
      <alignment horizontal="right" vertical="center" wrapText="1" indent="2"/>
    </xf>
    <xf numFmtId="3" fontId="6" fillId="0" borderId="1" xfId="0" applyNumberFormat="1" applyFont="1" applyFill="1" applyBorder="1" applyAlignment="1" applyProtection="1">
      <alignment horizontal="right" vertical="center" wrapText="1" indent="2"/>
    </xf>
    <xf numFmtId="0" fontId="4" fillId="0" borderId="0" xfId="0" applyFont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left" vertical="center" wrapText="1" indent="1"/>
    </xf>
    <xf numFmtId="2" fontId="6" fillId="0" borderId="19" xfId="0" applyNumberFormat="1" applyFont="1" applyFill="1" applyBorder="1" applyAlignment="1" applyProtection="1">
      <alignment horizontal="center" wrapText="1"/>
    </xf>
    <xf numFmtId="1" fontId="0" fillId="0" borderId="19" xfId="0" applyNumberFormat="1" applyFont="1" applyFill="1" applyBorder="1" applyAlignment="1" applyProtection="1">
      <alignment horizontal="center" wrapText="1"/>
    </xf>
    <xf numFmtId="0" fontId="2" fillId="0" borderId="20" xfId="0" applyFont="1" applyFill="1" applyBorder="1" applyAlignment="1">
      <alignment horizontal="left" vertical="center" wrapText="1" indent="1"/>
    </xf>
    <xf numFmtId="2" fontId="6" fillId="0" borderId="20" xfId="0" applyNumberFormat="1" applyFont="1" applyFill="1" applyBorder="1" applyAlignment="1" applyProtection="1">
      <alignment horizontal="center" wrapText="1"/>
    </xf>
    <xf numFmtId="1" fontId="0" fillId="0" borderId="20" xfId="0" applyNumberFormat="1" applyFont="1" applyFill="1" applyBorder="1" applyAlignment="1" applyProtection="1">
      <alignment horizontal="center" wrapText="1"/>
    </xf>
    <xf numFmtId="0" fontId="38" fillId="5" borderId="0" xfId="0" applyFont="1" applyFill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4" fillId="0" borderId="21" xfId="0" applyNumberFormat="1" applyFont="1" applyBorder="1" applyAlignment="1" applyProtection="1">
      <alignment textRotation="90"/>
      <protection locked="0"/>
    </xf>
    <xf numFmtId="2" fontId="4" fillId="2" borderId="22" xfId="0" applyNumberFormat="1" applyFont="1" applyFill="1" applyBorder="1" applyAlignment="1" applyProtection="1">
      <alignment horizontal="center" textRotation="90"/>
      <protection locked="0"/>
    </xf>
    <xf numFmtId="1" fontId="4" fillId="2" borderId="22" xfId="0" applyNumberFormat="1" applyFont="1" applyFill="1" applyBorder="1" applyAlignment="1" applyProtection="1">
      <alignment horizontal="center" textRotation="90"/>
      <protection locked="0"/>
    </xf>
    <xf numFmtId="16" fontId="4" fillId="2" borderId="22" xfId="0" applyNumberFormat="1" applyFont="1" applyFill="1" applyBorder="1" applyAlignment="1" applyProtection="1">
      <alignment horizontal="center" textRotation="90"/>
      <protection locked="0"/>
    </xf>
    <xf numFmtId="1" fontId="0" fillId="0" borderId="0" xfId="0" applyNumberFormat="1" applyFont="1" applyAlignment="1">
      <alignment vertical="center"/>
    </xf>
    <xf numFmtId="1" fontId="0" fillId="0" borderId="0" xfId="0" applyNumberFormat="1" applyFont="1" applyFill="1"/>
    <xf numFmtId="1" fontId="4" fillId="0" borderId="0" xfId="0" applyNumberFormat="1" applyFont="1" applyFill="1" applyAlignment="1">
      <alignment vertical="center"/>
    </xf>
    <xf numFmtId="1" fontId="0" fillId="0" borderId="0" xfId="0" applyNumberFormat="1" applyFont="1"/>
    <xf numFmtId="1" fontId="0" fillId="0" borderId="23" xfId="0" applyNumberFormat="1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3" xfId="0" applyNumberFormat="1" applyFont="1" applyBorder="1" applyAlignment="1" applyProtection="1">
      <alignment horizontal="center" vertical="center"/>
      <protection locked="0"/>
    </xf>
    <xf numFmtId="16" fontId="0" fillId="0" borderId="23" xfId="0" applyNumberFormat="1" applyFont="1" applyBorder="1" applyAlignment="1" applyProtection="1">
      <alignment horizontal="center" vertical="center"/>
      <protection locked="0"/>
    </xf>
    <xf numFmtId="1" fontId="0" fillId="0" borderId="19" xfId="0" applyNumberFormat="1" applyFont="1" applyBorder="1" applyAlignment="1" applyProtection="1">
      <alignment horizontal="center" vertical="center"/>
      <protection locked="0"/>
    </xf>
    <xf numFmtId="16" fontId="0" fillId="0" borderId="19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16" fontId="0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/>
    </xf>
    <xf numFmtId="165" fontId="0" fillId="2" borderId="2" xfId="0" applyNumberFormat="1" applyFill="1" applyBorder="1" applyAlignment="1" applyProtection="1">
      <alignment horizontal="center" vertical="center" textRotation="90"/>
    </xf>
    <xf numFmtId="165" fontId="0" fillId="2" borderId="2" xfId="0" applyNumberFormat="1" applyFont="1" applyFill="1" applyBorder="1" applyAlignment="1" applyProtection="1">
      <alignment horizontal="center" vertical="center" textRotation="90"/>
    </xf>
    <xf numFmtId="49" fontId="0" fillId="2" borderId="1" xfId="0" applyNumberFormat="1" applyFont="1" applyFill="1" applyBorder="1" applyAlignment="1" applyProtection="1">
      <alignment horizontal="center" vertical="center" textRotation="90"/>
    </xf>
    <xf numFmtId="164" fontId="27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39" fillId="0" borderId="0" xfId="0" applyFont="1"/>
    <xf numFmtId="0" fontId="0" fillId="0" borderId="0" xfId="0" applyFont="1" applyBorder="1" applyProtection="1">
      <protection locked="0"/>
    </xf>
    <xf numFmtId="2" fontId="6" fillId="0" borderId="0" xfId="0" applyNumberFormat="1" applyFont="1" applyBorder="1" applyAlignment="1" applyProtection="1">
      <alignment horizontal="lef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1" fontId="18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0" fillId="2" borderId="2" xfId="0" applyNumberFormat="1" applyFont="1" applyFill="1" applyBorder="1" applyAlignment="1" applyProtection="1">
      <alignment horizontal="center" textRotation="90"/>
    </xf>
    <xf numFmtId="1" fontId="4" fillId="6" borderId="19" xfId="0" applyNumberFormat="1" applyFont="1" applyFill="1" applyBorder="1" applyAlignment="1" applyProtection="1">
      <alignment vertical="center" wrapText="1"/>
    </xf>
    <xf numFmtId="1" fontId="4" fillId="6" borderId="19" xfId="0" applyNumberFormat="1" applyFont="1" applyFill="1" applyBorder="1" applyAlignment="1" applyProtection="1">
      <alignment horizontal="left" vertical="center" wrapText="1"/>
    </xf>
    <xf numFmtId="1" fontId="4" fillId="6" borderId="19" xfId="0" applyNumberFormat="1" applyFont="1" applyFill="1" applyBorder="1" applyAlignment="1" applyProtection="1">
      <alignment horizontal="left" vertical="center"/>
    </xf>
    <xf numFmtId="1" fontId="4" fillId="6" borderId="1" xfId="0" applyNumberFormat="1" applyFont="1" applyFill="1" applyBorder="1" applyAlignment="1" applyProtection="1">
      <alignment vertical="center" wrapText="1"/>
    </xf>
    <xf numFmtId="1" fontId="4" fillId="6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38" fillId="7" borderId="25" xfId="0" applyFont="1" applyFill="1" applyBorder="1" applyAlignment="1">
      <alignment horizontal="center"/>
    </xf>
    <xf numFmtId="16" fontId="38" fillId="7" borderId="26" xfId="0" applyNumberFormat="1" applyFont="1" applyFill="1" applyBorder="1" applyAlignment="1">
      <alignment horizontal="center"/>
    </xf>
    <xf numFmtId="20" fontId="34" fillId="0" borderId="25" xfId="0" applyNumberFormat="1" applyFont="1" applyFill="1" applyBorder="1" applyAlignment="1">
      <alignment horizontal="center"/>
    </xf>
    <xf numFmtId="0" fontId="0" fillId="0" borderId="26" xfId="0" applyFont="1" applyFill="1" applyBorder="1"/>
    <xf numFmtId="0" fontId="34" fillId="0" borderId="25" xfId="0" applyFont="1" applyFill="1" applyBorder="1" applyAlignment="1">
      <alignment horizontal="center"/>
    </xf>
    <xf numFmtId="20" fontId="34" fillId="8" borderId="25" xfId="0" applyNumberFormat="1" applyFont="1" applyFill="1" applyBorder="1" applyAlignment="1">
      <alignment horizontal="center"/>
    </xf>
    <xf numFmtId="0" fontId="0" fillId="8" borderId="26" xfId="0" applyFont="1" applyFill="1" applyBorder="1"/>
    <xf numFmtId="0" fontId="34" fillId="8" borderId="25" xfId="0" applyFont="1" applyFill="1" applyBorder="1" applyAlignment="1">
      <alignment horizontal="center"/>
    </xf>
    <xf numFmtId="2" fontId="6" fillId="0" borderId="2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left" vertical="center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vertical="center"/>
    </xf>
    <xf numFmtId="16" fontId="0" fillId="0" borderId="1" xfId="0" applyNumberFormat="1" applyBorder="1" applyAlignment="1" applyProtection="1">
      <alignment horizontal="center" vertical="center"/>
      <protection locked="0"/>
    </xf>
    <xf numFmtId="2" fontId="6" fillId="0" borderId="2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vertical="center"/>
      <protection locked="0"/>
    </xf>
    <xf numFmtId="2" fontId="6" fillId="0" borderId="12" xfId="0" applyNumberFormat="1" applyFont="1" applyBorder="1" applyAlignment="1" applyProtection="1">
      <alignment horizontal="center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16" fontId="4" fillId="0" borderId="19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6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vertical="center"/>
      <protection locked="0"/>
    </xf>
    <xf numFmtId="1" fontId="0" fillId="0" borderId="19" xfId="0" quotePrefix="1" applyNumberFormat="1" applyFont="1" applyFill="1" applyBorder="1" applyAlignment="1" applyProtection="1">
      <alignment horizontal="center" wrapText="1"/>
    </xf>
    <xf numFmtId="0" fontId="2" fillId="0" borderId="19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164" fontId="2" fillId="0" borderId="1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12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3" fontId="0" fillId="0" borderId="54" xfId="0" applyNumberFormat="1" applyFont="1" applyFill="1" applyBorder="1" applyAlignment="1" applyProtection="1">
      <alignment horizontal="right" vertical="center" wrapText="1"/>
    </xf>
    <xf numFmtId="2" fontId="2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3" fontId="2" fillId="0" borderId="12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 indent="1"/>
    </xf>
    <xf numFmtId="1" fontId="6" fillId="0" borderId="31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left" vertical="center" wrapText="1" indent="1"/>
    </xf>
    <xf numFmtId="3" fontId="6" fillId="0" borderId="31" xfId="0" applyNumberFormat="1" applyFont="1" applyFill="1" applyBorder="1" applyAlignment="1">
      <alignment vertical="center" wrapText="1"/>
    </xf>
    <xf numFmtId="0" fontId="0" fillId="0" borderId="3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1" fontId="0" fillId="0" borderId="33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left" vertical="center" wrapText="1" indent="1"/>
    </xf>
    <xf numFmtId="3" fontId="0" fillId="0" borderId="33" xfId="0" applyNumberFormat="1" applyFont="1" applyFill="1" applyBorder="1" applyAlignment="1">
      <alignment vertical="center" wrapText="1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left" vertical="center" indent="1"/>
    </xf>
    <xf numFmtId="1" fontId="0" fillId="0" borderId="36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left" vertical="center" wrapText="1" indent="1"/>
    </xf>
    <xf numFmtId="3" fontId="0" fillId="0" borderId="36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indent="1"/>
    </xf>
    <xf numFmtId="1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left" vertical="center" wrapText="1" indent="1"/>
    </xf>
    <xf numFmtId="3" fontId="0" fillId="0" borderId="12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center"/>
    </xf>
    <xf numFmtId="3" fontId="2" fillId="0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20" fontId="0" fillId="0" borderId="0" xfId="0" applyNumberFormat="1" applyFont="1" applyBorder="1" applyAlignment="1">
      <alignment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ont="1" applyBorder="1" applyAlignment="1">
      <alignment horizontal="center"/>
    </xf>
    <xf numFmtId="2" fontId="2" fillId="0" borderId="54" xfId="0" applyNumberFormat="1" applyFon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wrapText="1"/>
    </xf>
    <xf numFmtId="0" fontId="40" fillId="0" borderId="0" xfId="0" applyFont="1"/>
    <xf numFmtId="0" fontId="41" fillId="0" borderId="0" xfId="0" applyFont="1"/>
    <xf numFmtId="0" fontId="42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16" fontId="43" fillId="0" borderId="19" xfId="0" applyNumberFormat="1" applyFont="1" applyBorder="1" applyAlignment="1">
      <alignment horizontal="center" vertical="center"/>
    </xf>
    <xf numFmtId="20" fontId="43" fillId="0" borderId="19" xfId="0" applyNumberFormat="1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9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3" fontId="43" fillId="0" borderId="19" xfId="0" applyNumberFormat="1" applyFont="1" applyBorder="1" applyAlignment="1">
      <alignment horizontal="center" vertical="center"/>
    </xf>
    <xf numFmtId="0" fontId="42" fillId="0" borderId="19" xfId="0" applyFont="1" applyBorder="1" applyAlignment="1">
      <alignment vertical="center"/>
    </xf>
    <xf numFmtId="0" fontId="45" fillId="9" borderId="19" xfId="0" applyFont="1" applyFill="1" applyBorder="1"/>
    <xf numFmtId="166" fontId="43" fillId="0" borderId="1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indent="1"/>
    </xf>
    <xf numFmtId="2" fontId="6" fillId="0" borderId="3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2" fontId="0" fillId="0" borderId="33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 indent="1"/>
    </xf>
    <xf numFmtId="2" fontId="0" fillId="0" borderId="36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indent="1"/>
    </xf>
    <xf numFmtId="2" fontId="0" fillId="0" borderId="12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2" fontId="6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6" fontId="0" fillId="0" borderId="39" xfId="0" applyNumberFormat="1" applyFont="1" applyBorder="1" applyAlignment="1" applyProtection="1">
      <alignment horizontal="center" vertical="center"/>
      <protection locked="0"/>
    </xf>
    <xf numFmtId="16" fontId="0" fillId="0" borderId="40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Font="1" applyBorder="1" applyAlignment="1">
      <alignment horizontal="left" vertical="center" indent="1"/>
    </xf>
    <xf numFmtId="1" fontId="0" fillId="0" borderId="35" xfId="0" applyNumberFormat="1" applyFont="1" applyBorder="1" applyAlignment="1">
      <alignment horizontal="left" vertical="center" indent="1"/>
    </xf>
    <xf numFmtId="1" fontId="0" fillId="0" borderId="12" xfId="0" applyNumberFormat="1" applyFont="1" applyBorder="1" applyAlignment="1">
      <alignment horizontal="left" vertical="center" indent="1"/>
    </xf>
    <xf numFmtId="0" fontId="0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3" fontId="35" fillId="0" borderId="0" xfId="0" applyNumberFormat="1" applyFont="1" applyFill="1" applyBorder="1" applyAlignment="1">
      <alignment horizontal="left"/>
    </xf>
    <xf numFmtId="1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vertical="center" indent="1"/>
    </xf>
    <xf numFmtId="165" fontId="0" fillId="2" borderId="2" xfId="0" quotePrefix="1" applyNumberFormat="1" applyFill="1" applyBorder="1" applyAlignment="1" applyProtection="1">
      <alignment horizontal="center" vertical="center" textRotation="90"/>
    </xf>
    <xf numFmtId="2" fontId="35" fillId="0" borderId="0" xfId="0" applyNumberFormat="1" applyFont="1" applyFill="1" applyBorder="1" applyAlignment="1">
      <alignment horizontal="center"/>
    </xf>
    <xf numFmtId="2" fontId="35" fillId="0" borderId="21" xfId="0" applyNumberFormat="1" applyFont="1" applyFill="1" applyBorder="1" applyAlignment="1">
      <alignment horizontal="center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3" fontId="36" fillId="0" borderId="0" xfId="0" applyNumberFormat="1" applyFont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vertical="center"/>
      <protection locked="0"/>
    </xf>
    <xf numFmtId="2" fontId="35" fillId="0" borderId="0" xfId="0" applyNumberFormat="1" applyFont="1" applyFill="1" applyBorder="1" applyAlignment="1">
      <alignment horizontal="left"/>
    </xf>
    <xf numFmtId="1" fontId="4" fillId="6" borderId="19" xfId="0" applyNumberFormat="1" applyFont="1" applyFill="1" applyBorder="1" applyAlignment="1" applyProtection="1">
      <alignment horizontal="left" vertical="center"/>
      <protection locked="0"/>
    </xf>
    <xf numFmtId="1" fontId="2" fillId="0" borderId="1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indent="1"/>
    </xf>
    <xf numFmtId="0" fontId="20" fillId="3" borderId="2" xfId="0" applyFont="1" applyFill="1" applyBorder="1" applyAlignment="1">
      <alignment horizontal="left" wrapText="1"/>
    </xf>
    <xf numFmtId="0" fontId="2" fillId="0" borderId="1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indent="1"/>
    </xf>
    <xf numFmtId="0" fontId="3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/>
    </xf>
    <xf numFmtId="0" fontId="44" fillId="0" borderId="19" xfId="0" applyFont="1" applyBorder="1" applyAlignment="1">
      <alignment vertical="center"/>
    </xf>
    <xf numFmtId="0" fontId="45" fillId="0" borderId="19" xfId="0" applyFont="1" applyFill="1" applyBorder="1"/>
    <xf numFmtId="0" fontId="46" fillId="10" borderId="19" xfId="0" applyFont="1" applyFill="1" applyBorder="1"/>
    <xf numFmtId="0" fontId="45" fillId="11" borderId="19" xfId="0" applyFont="1" applyFill="1" applyBorder="1"/>
    <xf numFmtId="0" fontId="40" fillId="9" borderId="19" xfId="0" applyFont="1" applyFill="1" applyBorder="1"/>
    <xf numFmtId="0" fontId="40" fillId="10" borderId="19" xfId="0" applyFont="1" applyFill="1" applyBorder="1"/>
    <xf numFmtId="0" fontId="45" fillId="10" borderId="19" xfId="0" applyFont="1" applyFill="1" applyBorder="1"/>
    <xf numFmtId="0" fontId="40" fillId="11" borderId="19" xfId="0" applyFont="1" applyFill="1" applyBorder="1"/>
    <xf numFmtId="0" fontId="47" fillId="11" borderId="19" xfId="0" applyFont="1" applyFill="1" applyBorder="1"/>
    <xf numFmtId="0" fontId="48" fillId="9" borderId="19" xfId="0" applyFont="1" applyFill="1" applyBorder="1"/>
    <xf numFmtId="0" fontId="37" fillId="0" borderId="19" xfId="0" applyFont="1" applyFill="1" applyBorder="1" applyAlignment="1">
      <alignment horizontal="left" vertical="center" wrapText="1" indent="1"/>
    </xf>
    <xf numFmtId="0" fontId="21" fillId="0" borderId="0" xfId="0" applyFont="1" applyBorder="1" applyProtection="1">
      <protection locked="0"/>
    </xf>
    <xf numFmtId="0" fontId="37" fillId="0" borderId="0" xfId="0" applyFont="1" applyFill="1" applyBorder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3" fontId="0" fillId="0" borderId="54" xfId="0" applyNumberFormat="1" applyBorder="1" applyAlignment="1">
      <alignment horizontal="right" vertical="center" wrapText="1"/>
    </xf>
    <xf numFmtId="16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2" fontId="30" fillId="0" borderId="0" xfId="0" applyNumberFormat="1" applyFont="1" applyFill="1" applyBorder="1" applyAlignment="1">
      <alignment horizontal="center"/>
    </xf>
    <xf numFmtId="3" fontId="30" fillId="0" borderId="21" xfId="0" applyNumberFormat="1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43" fillId="0" borderId="0" xfId="0" applyFont="1" applyBorder="1" applyAlignment="1">
      <alignment horizontal="center" vertical="center"/>
    </xf>
    <xf numFmtId="0" fontId="40" fillId="0" borderId="19" xfId="0" applyFont="1" applyBorder="1"/>
    <xf numFmtId="0" fontId="1" fillId="0" borderId="0" xfId="0" applyNumberFormat="1" applyFont="1" applyFill="1" applyBorder="1" applyAlignment="1">
      <alignment horizontal="left"/>
    </xf>
    <xf numFmtId="3" fontId="4" fillId="0" borderId="0" xfId="0" applyNumberFormat="1" applyFont="1" applyProtection="1">
      <protection locked="0"/>
    </xf>
    <xf numFmtId="3" fontId="1" fillId="0" borderId="21" xfId="0" applyNumberFormat="1" applyFont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3" fontId="35" fillId="0" borderId="2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1" fontId="51" fillId="0" borderId="19" xfId="0" quotePrefix="1" applyNumberFormat="1" applyFont="1" applyFill="1" applyBorder="1" applyAlignment="1" applyProtection="1">
      <alignment horizontal="center" wrapText="1"/>
    </xf>
    <xf numFmtId="1" fontId="51" fillId="0" borderId="19" xfId="0" applyNumberFormat="1" applyFont="1" applyFill="1" applyBorder="1" applyAlignment="1" applyProtection="1">
      <alignment horizontal="center" wrapText="1"/>
    </xf>
    <xf numFmtId="1" fontId="51" fillId="0" borderId="1" xfId="0" applyNumberFormat="1" applyFont="1" applyFill="1" applyBorder="1" applyAlignment="1" applyProtection="1">
      <alignment horizontal="center" vertical="center" wrapText="1"/>
    </xf>
    <xf numFmtId="1" fontId="51" fillId="0" borderId="1" xfId="0" quotePrefix="1" applyNumberFormat="1" applyFont="1" applyFill="1" applyBorder="1" applyAlignment="1" applyProtection="1">
      <alignment horizontal="center" vertical="center" wrapText="1"/>
    </xf>
    <xf numFmtId="3" fontId="51" fillId="0" borderId="1" xfId="0" quotePrefix="1" applyNumberFormat="1" applyFont="1" applyFill="1" applyBorder="1" applyAlignment="1" applyProtection="1">
      <alignment horizontal="center" vertical="center" wrapText="1"/>
    </xf>
    <xf numFmtId="3" fontId="51" fillId="0" borderId="1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Border="1"/>
    <xf numFmtId="1" fontId="51" fillId="0" borderId="20" xfId="0" applyNumberFormat="1" applyFont="1" applyFill="1" applyBorder="1" applyAlignment="1" applyProtection="1">
      <alignment horizontal="center" wrapText="1"/>
    </xf>
    <xf numFmtId="3" fontId="0" fillId="0" borderId="0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Font="1" applyBorder="1" applyAlignment="1" applyProtection="1">
      <alignment vertical="center"/>
      <protection locked="0"/>
    </xf>
    <xf numFmtId="2" fontId="35" fillId="0" borderId="0" xfId="0" applyNumberFormat="1" applyFont="1" applyFill="1" applyBorder="1" applyAlignment="1">
      <alignment horizontal="center" vertical="center"/>
    </xf>
    <xf numFmtId="1" fontId="32" fillId="0" borderId="19" xfId="0" applyNumberFormat="1" applyFont="1" applyFill="1" applyBorder="1" applyAlignment="1" applyProtection="1">
      <alignment horizontal="center" wrapText="1"/>
    </xf>
    <xf numFmtId="1" fontId="32" fillId="0" borderId="19" xfId="0" quotePrefix="1" applyNumberFormat="1" applyFont="1" applyFill="1" applyBorder="1" applyAlignment="1" applyProtection="1">
      <alignment horizontal="center" wrapText="1"/>
    </xf>
    <xf numFmtId="1" fontId="32" fillId="0" borderId="20" xfId="0" applyNumberFormat="1" applyFont="1" applyFill="1" applyBorder="1" applyAlignment="1" applyProtection="1">
      <alignment horizontal="center" wrapText="1"/>
    </xf>
    <xf numFmtId="1" fontId="32" fillId="0" borderId="20" xfId="0" quotePrefix="1" applyNumberFormat="1" applyFont="1" applyFill="1" applyBorder="1" applyAlignment="1" applyProtection="1">
      <alignment horizontal="center" wrapText="1"/>
    </xf>
    <xf numFmtId="165" fontId="32" fillId="2" borderId="2" xfId="0" applyNumberFormat="1" applyFont="1" applyFill="1" applyBorder="1" applyAlignment="1" applyProtection="1">
      <alignment horizontal="center" vertical="center" textRotation="90"/>
    </xf>
    <xf numFmtId="16" fontId="30" fillId="0" borderId="55" xfId="0" applyNumberFormat="1" applyFont="1" applyFill="1" applyBorder="1" applyAlignment="1">
      <alignment horizontal="center"/>
    </xf>
    <xf numFmtId="3" fontId="30" fillId="0" borderId="55" xfId="0" applyNumberFormat="1" applyFont="1" applyFill="1" applyBorder="1" applyAlignment="1">
      <alignment horizontal="center"/>
    </xf>
    <xf numFmtId="3" fontId="1" fillId="0" borderId="55" xfId="0" applyNumberFormat="1" applyFont="1" applyFill="1" applyBorder="1" applyAlignment="1">
      <alignment horizontal="left"/>
    </xf>
    <xf numFmtId="0" fontId="35" fillId="0" borderId="55" xfId="0" applyFont="1" applyFill="1" applyBorder="1" applyAlignment="1">
      <alignment horizontal="left"/>
    </xf>
    <xf numFmtId="3" fontId="35" fillId="0" borderId="55" xfId="0" applyNumberFormat="1" applyFont="1" applyFill="1" applyBorder="1" applyAlignment="1">
      <alignment horizontal="center"/>
    </xf>
    <xf numFmtId="2" fontId="35" fillId="0" borderId="55" xfId="0" applyNumberFormat="1" applyFont="1" applyFill="1" applyBorder="1" applyAlignment="1">
      <alignment horizontal="center"/>
    </xf>
    <xf numFmtId="3" fontId="30" fillId="0" borderId="55" xfId="0" applyNumberFormat="1" applyFont="1" applyFill="1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5" xfId="0" applyBorder="1" applyAlignment="1">
      <alignment horizontal="center"/>
    </xf>
    <xf numFmtId="3" fontId="35" fillId="0" borderId="55" xfId="0" applyNumberFormat="1" applyFont="1" applyFill="1" applyBorder="1" applyAlignment="1">
      <alignment horizontal="left"/>
    </xf>
    <xf numFmtId="1" fontId="35" fillId="0" borderId="55" xfId="0" applyNumberFormat="1" applyFont="1" applyFill="1" applyBorder="1" applyAlignment="1">
      <alignment horizontal="center"/>
    </xf>
    <xf numFmtId="1" fontId="52" fillId="0" borderId="19" xfId="0" quotePrefix="1" applyNumberFormat="1" applyFont="1" applyFill="1" applyBorder="1" applyAlignment="1" applyProtection="1">
      <alignment horizontal="center" wrapText="1"/>
    </xf>
    <xf numFmtId="1" fontId="32" fillId="13" borderId="19" xfId="0" applyNumberFormat="1" applyFont="1" applyFill="1" applyBorder="1" applyAlignment="1" applyProtection="1">
      <alignment horizontal="center" wrapText="1"/>
    </xf>
    <xf numFmtId="1" fontId="32" fillId="13" borderId="19" xfId="0" quotePrefix="1" applyNumberFormat="1" applyFont="1" applyFill="1" applyBorder="1" applyAlignment="1" applyProtection="1">
      <alignment horizontal="center" wrapText="1"/>
    </xf>
    <xf numFmtId="1" fontId="32" fillId="13" borderId="20" xfId="0" applyNumberFormat="1" applyFont="1" applyFill="1" applyBorder="1" applyAlignment="1" applyProtection="1">
      <alignment horizontal="center" wrapText="1"/>
    </xf>
    <xf numFmtId="1" fontId="51" fillId="0" borderId="20" xfId="0" quotePrefix="1" applyNumberFormat="1" applyFont="1" applyFill="1" applyBorder="1" applyAlignment="1" applyProtection="1">
      <alignment horizontal="center" wrapText="1"/>
    </xf>
    <xf numFmtId="3" fontId="2" fillId="0" borderId="12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 applyProtection="1">
      <alignment horizontal="center" vertical="center"/>
      <protection locked="0"/>
    </xf>
    <xf numFmtId="1" fontId="32" fillId="0" borderId="1" xfId="0" applyNumberFormat="1" applyFont="1" applyBorder="1" applyAlignment="1" applyProtection="1">
      <alignment horizontal="center" vertical="center"/>
      <protection locked="0"/>
    </xf>
    <xf numFmtId="1" fontId="32" fillId="0" borderId="19" xfId="0" applyNumberFormat="1" applyFont="1" applyBorder="1" applyAlignment="1" applyProtection="1">
      <alignment horizontal="center" vertical="center"/>
      <protection locked="0"/>
    </xf>
    <xf numFmtId="1" fontId="4" fillId="6" borderId="41" xfId="0" applyNumberFormat="1" applyFont="1" applyFill="1" applyBorder="1" applyAlignment="1" applyProtection="1">
      <alignment horizontal="left" vertical="center" wrapText="1"/>
    </xf>
    <xf numFmtId="1" fontId="4" fillId="0" borderId="23" xfId="0" applyNumberFormat="1" applyFont="1" applyBorder="1" applyAlignment="1" applyProtection="1">
      <alignment vertical="center"/>
      <protection locked="0"/>
    </xf>
    <xf numFmtId="1" fontId="4" fillId="6" borderId="42" xfId="0" applyNumberFormat="1" applyFont="1" applyFill="1" applyBorder="1" applyAlignment="1" applyProtection="1">
      <alignment horizontal="left" vertical="center" wrapText="1"/>
    </xf>
    <xf numFmtId="1" fontId="4" fillId="6" borderId="43" xfId="0" applyNumberFormat="1" applyFont="1" applyFill="1" applyBorder="1" applyAlignment="1" applyProtection="1">
      <alignment vertical="center" wrapText="1"/>
    </xf>
    <xf numFmtId="1" fontId="32" fillId="0" borderId="23" xfId="0" applyNumberFormat="1" applyFont="1" applyBorder="1" applyAlignment="1" applyProtection="1">
      <alignment horizontal="center" vertical="center"/>
      <protection locked="0"/>
    </xf>
    <xf numFmtId="1" fontId="0" fillId="0" borderId="28" xfId="0" applyNumberFormat="1" applyFont="1" applyBorder="1" applyAlignment="1" applyProtection="1">
      <alignment horizontal="center" vertical="center"/>
      <protection locked="0"/>
    </xf>
    <xf numFmtId="1" fontId="4" fillId="6" borderId="27" xfId="0" applyNumberFormat="1" applyFont="1" applyFill="1" applyBorder="1" applyAlignment="1" applyProtection="1">
      <alignment vertical="center" wrapText="1"/>
    </xf>
    <xf numFmtId="1" fontId="52" fillId="0" borderId="1" xfId="0" quotePrefix="1" applyNumberFormat="1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48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9" xfId="0" applyNumberFormat="1" applyFont="1" applyFill="1" applyBorder="1" applyAlignment="1">
      <alignment horizontal="center" vertical="center"/>
    </xf>
    <xf numFmtId="0" fontId="49" fillId="12" borderId="51" xfId="0" applyFont="1" applyFill="1" applyBorder="1" applyAlignment="1">
      <alignment horizontal="center" vertical="center"/>
    </xf>
    <xf numFmtId="0" fontId="49" fillId="12" borderId="52" xfId="0" applyFont="1" applyFill="1" applyBorder="1" applyAlignment="1">
      <alignment horizontal="center" vertical="center"/>
    </xf>
    <xf numFmtId="0" fontId="49" fillId="12" borderId="53" xfId="0" applyFont="1" applyFill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44" fillId="0" borderId="19" xfId="0" applyFont="1" applyBorder="1" applyAlignment="1">
      <alignment vertical="center"/>
    </xf>
    <xf numFmtId="0" fontId="49" fillId="12" borderId="19" xfId="0" applyFont="1" applyFill="1" applyBorder="1" applyAlignment="1">
      <alignment horizontal="center" vertical="center"/>
    </xf>
    <xf numFmtId="16" fontId="49" fillId="12" borderId="19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1" fontId="4" fillId="6" borderId="1" xfId="0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215900</xdr:colOff>
      <xdr:row>18</xdr:row>
      <xdr:rowOff>38100</xdr:rowOff>
    </xdr:from>
    <xdr:to>
      <xdr:col>15</xdr:col>
      <xdr:colOff>546100</xdr:colOff>
      <xdr:row>26</xdr:row>
      <xdr:rowOff>165100</xdr:rowOff>
    </xdr:to>
    <xdr:pic>
      <xdr:nvPicPr>
        <xdr:cNvPr id="1926" name="Picture 1">
          <a:extLst>
            <a:ext uri="{FF2B5EF4-FFF2-40B4-BE49-F238E27FC236}">
              <a16:creationId xmlns:a16="http://schemas.microsoft.com/office/drawing/2014/main" id="{CD482AF5-A6BC-D945-82CB-B30EB42E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4483100"/>
          <a:ext cx="1790700" cy="1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ECE772-8CD1-5B41-9A55-CE5CEABA748D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BB3FC-00D1-5F4F-97D1-0A41B586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96DC546-4E08-8D44-93AC-402009BDB88E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0C163A-7DDE-9D4B-98D5-D1B366DA6BC9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2DFF82C6-7CD2-1B4E-9119-0624BDAD4EA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9BA0DB81-ACF0-7D41-97CE-7C2B7C8AF8A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3A93337-8B55-CE40-BD14-F5479797A60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9AB20D53-DBE3-7B42-B1B5-8D82E7F7A4D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0425" name="AutoShape 1">
          <a:extLst>
            <a:ext uri="{FF2B5EF4-FFF2-40B4-BE49-F238E27FC236}">
              <a16:creationId xmlns:a16="http://schemas.microsoft.com/office/drawing/2014/main" id="{B9AFB487-7511-A84F-8094-5A307E9817C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6352" name="Picture 2">
          <a:extLst>
            <a:ext uri="{FF2B5EF4-FFF2-40B4-BE49-F238E27FC236}">
              <a16:creationId xmlns:a16="http://schemas.microsoft.com/office/drawing/2014/main" id="{5E2CE117-F39A-D444-A753-8725F0CC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0427" name="AutoShape 1">
          <a:extLst>
            <a:ext uri="{FF2B5EF4-FFF2-40B4-BE49-F238E27FC236}">
              <a16:creationId xmlns:a16="http://schemas.microsoft.com/office/drawing/2014/main" id="{DA3CFEB5-BCB6-124B-A813-8EB64F03A416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0428" name="AutoShape 1">
          <a:extLst>
            <a:ext uri="{FF2B5EF4-FFF2-40B4-BE49-F238E27FC236}">
              <a16:creationId xmlns:a16="http://schemas.microsoft.com/office/drawing/2014/main" id="{53A2244F-1B17-B14A-9C59-707681C1256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0429" name="AutoShape 1">
          <a:extLst>
            <a:ext uri="{FF2B5EF4-FFF2-40B4-BE49-F238E27FC236}">
              <a16:creationId xmlns:a16="http://schemas.microsoft.com/office/drawing/2014/main" id="{CBC3811D-2F13-164E-956F-44C4BE4259D9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0430" name="AutoShape 1">
          <a:extLst>
            <a:ext uri="{FF2B5EF4-FFF2-40B4-BE49-F238E27FC236}">
              <a16:creationId xmlns:a16="http://schemas.microsoft.com/office/drawing/2014/main" id="{AE8F4AD4-8019-894F-80E6-60D4FFE6691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A5C2471-5FB7-5D44-BF36-2E553D7E5D7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3462" name="Picture 2">
          <a:extLst>
            <a:ext uri="{FF2B5EF4-FFF2-40B4-BE49-F238E27FC236}">
              <a16:creationId xmlns:a16="http://schemas.microsoft.com/office/drawing/2014/main" id="{E401BC5C-AA40-874C-BDE9-27F7BF4C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9D914EE-3B07-C644-A36A-17F26F9FFA5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9DF37CD-4575-5B4D-B519-DEE11E02EF9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6A6A69D-2B88-0C4B-BFAE-5259A283A95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6EE9DA25-E43F-3949-A953-095AC6E76957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8377" name="AutoShape 1">
          <a:extLst>
            <a:ext uri="{FF2B5EF4-FFF2-40B4-BE49-F238E27FC236}">
              <a16:creationId xmlns:a16="http://schemas.microsoft.com/office/drawing/2014/main" id="{9D5E518E-0D7F-9B42-8C51-7A482C893536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5328" name="Picture 2">
          <a:extLst>
            <a:ext uri="{FF2B5EF4-FFF2-40B4-BE49-F238E27FC236}">
              <a16:creationId xmlns:a16="http://schemas.microsoft.com/office/drawing/2014/main" id="{57BDA0DD-8269-AA4B-872F-613C1F80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8379" name="AutoShape 1">
          <a:extLst>
            <a:ext uri="{FF2B5EF4-FFF2-40B4-BE49-F238E27FC236}">
              <a16:creationId xmlns:a16="http://schemas.microsoft.com/office/drawing/2014/main" id="{32936E78-D089-D64C-9A92-C5D3F51758CD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8380" name="AutoShape 1">
          <a:extLst>
            <a:ext uri="{FF2B5EF4-FFF2-40B4-BE49-F238E27FC236}">
              <a16:creationId xmlns:a16="http://schemas.microsoft.com/office/drawing/2014/main" id="{94C1250E-6B45-E249-AE42-2C63666B683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8381" name="AutoShape 1">
          <a:extLst>
            <a:ext uri="{FF2B5EF4-FFF2-40B4-BE49-F238E27FC236}">
              <a16:creationId xmlns:a16="http://schemas.microsoft.com/office/drawing/2014/main" id="{A4BBF0B5-F800-EC48-9BA1-70F16EFAA2B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8382" name="AutoShape 1">
          <a:extLst>
            <a:ext uri="{FF2B5EF4-FFF2-40B4-BE49-F238E27FC236}">
              <a16:creationId xmlns:a16="http://schemas.microsoft.com/office/drawing/2014/main" id="{93C85B57-4A57-3442-9302-2BB5282F848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3383" name="Picture 2">
          <a:extLst>
            <a:ext uri="{FF2B5EF4-FFF2-40B4-BE49-F238E27FC236}">
              <a16:creationId xmlns:a16="http://schemas.microsoft.com/office/drawing/2014/main" id="{F29BE506-79F9-F54F-AF8D-AE09DB34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1451" name="AutoShape 1">
          <a:extLst>
            <a:ext uri="{FF2B5EF4-FFF2-40B4-BE49-F238E27FC236}">
              <a16:creationId xmlns:a16="http://schemas.microsoft.com/office/drawing/2014/main" id="{A18EF5DC-1CA0-0248-AABE-16FC14CD928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1452" name="AutoShape 1">
          <a:extLst>
            <a:ext uri="{FF2B5EF4-FFF2-40B4-BE49-F238E27FC236}">
              <a16:creationId xmlns:a16="http://schemas.microsoft.com/office/drawing/2014/main" id="{CE6C57E8-18A0-434C-9A12-AF0B32643E0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1453" name="AutoShape 1">
          <a:extLst>
            <a:ext uri="{FF2B5EF4-FFF2-40B4-BE49-F238E27FC236}">
              <a16:creationId xmlns:a16="http://schemas.microsoft.com/office/drawing/2014/main" id="{3A73EBAB-6ECF-F949-AA77-8C5B62F7F68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1454" name="AutoShape 1">
          <a:extLst>
            <a:ext uri="{FF2B5EF4-FFF2-40B4-BE49-F238E27FC236}">
              <a16:creationId xmlns:a16="http://schemas.microsoft.com/office/drawing/2014/main" id="{8C9B5364-C5FD-1C4F-A373-3F2F5365B42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9401" name="AutoShape 1">
          <a:extLst>
            <a:ext uri="{FF2B5EF4-FFF2-40B4-BE49-F238E27FC236}">
              <a16:creationId xmlns:a16="http://schemas.microsoft.com/office/drawing/2014/main" id="{43B6EB54-5014-724A-9635-603C6AA41FD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7376" name="Picture 2">
          <a:extLst>
            <a:ext uri="{FF2B5EF4-FFF2-40B4-BE49-F238E27FC236}">
              <a16:creationId xmlns:a16="http://schemas.microsoft.com/office/drawing/2014/main" id="{6751FE94-7404-6847-9B9F-0EBAA7FF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9403" name="AutoShape 1">
          <a:extLst>
            <a:ext uri="{FF2B5EF4-FFF2-40B4-BE49-F238E27FC236}">
              <a16:creationId xmlns:a16="http://schemas.microsoft.com/office/drawing/2014/main" id="{F63F1594-F60F-A744-8EC0-24B9520D82F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9404" name="AutoShape 1">
          <a:extLst>
            <a:ext uri="{FF2B5EF4-FFF2-40B4-BE49-F238E27FC236}">
              <a16:creationId xmlns:a16="http://schemas.microsoft.com/office/drawing/2014/main" id="{CAB38FAB-CFD6-A747-A59F-A14EC62B9A5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9405" name="AutoShape 1">
          <a:extLst>
            <a:ext uri="{FF2B5EF4-FFF2-40B4-BE49-F238E27FC236}">
              <a16:creationId xmlns:a16="http://schemas.microsoft.com/office/drawing/2014/main" id="{274C1E4B-B0C0-EB4B-9839-A5616688B8A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9406" name="AutoShape 1">
          <a:extLst>
            <a:ext uri="{FF2B5EF4-FFF2-40B4-BE49-F238E27FC236}">
              <a16:creationId xmlns:a16="http://schemas.microsoft.com/office/drawing/2014/main" id="{4675267C-685C-1A43-9898-7CF9E2973DD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A0C7787-E857-884D-B359-13280E9A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1E2CCF9F-AC7A-994C-A82F-383D4F6A4C51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909C007B-6948-0449-B1A6-5669AF99846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865429D3-97BB-8241-9FD7-638292F41FD4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20E16B3-9C84-8646-BE93-ECFE9672B4A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3657DBB3-CC27-E047-9EE6-6E49D9724A5B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312EABDC-2796-294B-8F6F-7D7AC7EA03E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367F926E-F75F-7F40-9E35-531173E0114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5D102C0-1D12-4A42-9FFA-DE559D70D2D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5D10EFAB-E675-4045-9851-67A3BB7E5108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56D45BFB-79BB-0640-9CD1-0B01F7DF2271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BA60F3EE-F1DB-E445-B57D-CC7B4A102D0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A4112039-9FAE-4340-8984-2ADCF2EE511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79856" name="Picture 2">
          <a:extLst>
            <a:ext uri="{FF2B5EF4-FFF2-40B4-BE49-F238E27FC236}">
              <a16:creationId xmlns:a16="http://schemas.microsoft.com/office/drawing/2014/main" id="{4ED7FDCE-AC51-3840-AF63-758B1445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2477" name="AutoShape 1">
          <a:extLst>
            <a:ext uri="{FF2B5EF4-FFF2-40B4-BE49-F238E27FC236}">
              <a16:creationId xmlns:a16="http://schemas.microsoft.com/office/drawing/2014/main" id="{6CA5E434-367F-3D4D-9656-32DB395C51F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2478" name="AutoShape 1">
          <a:extLst>
            <a:ext uri="{FF2B5EF4-FFF2-40B4-BE49-F238E27FC236}">
              <a16:creationId xmlns:a16="http://schemas.microsoft.com/office/drawing/2014/main" id="{F08FA161-D332-6845-8469-9E98917E5AC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3497" name="AutoShape 1">
          <a:extLst>
            <a:ext uri="{FF2B5EF4-FFF2-40B4-BE49-F238E27FC236}">
              <a16:creationId xmlns:a16="http://schemas.microsoft.com/office/drawing/2014/main" id="{9925485A-A1A3-8946-967D-0A362CC1A59C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8400" name="Picture 2">
          <a:extLst>
            <a:ext uri="{FF2B5EF4-FFF2-40B4-BE49-F238E27FC236}">
              <a16:creationId xmlns:a16="http://schemas.microsoft.com/office/drawing/2014/main" id="{12F8EA79-67FE-9E4D-877E-283CEC4D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3499" name="AutoShape 1">
          <a:extLst>
            <a:ext uri="{FF2B5EF4-FFF2-40B4-BE49-F238E27FC236}">
              <a16:creationId xmlns:a16="http://schemas.microsoft.com/office/drawing/2014/main" id="{6EFF28B4-8333-6941-9AC7-E41039FE5BC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3500" name="AutoShape 1">
          <a:extLst>
            <a:ext uri="{FF2B5EF4-FFF2-40B4-BE49-F238E27FC236}">
              <a16:creationId xmlns:a16="http://schemas.microsoft.com/office/drawing/2014/main" id="{7DC7AEEB-004E-964F-A5A8-A26DC37B294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3501" name="AutoShape 1">
          <a:extLst>
            <a:ext uri="{FF2B5EF4-FFF2-40B4-BE49-F238E27FC236}">
              <a16:creationId xmlns:a16="http://schemas.microsoft.com/office/drawing/2014/main" id="{678DFD86-583D-BA44-8FB9-6D71BEE84B2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3502" name="AutoShape 1">
          <a:extLst>
            <a:ext uri="{FF2B5EF4-FFF2-40B4-BE49-F238E27FC236}">
              <a16:creationId xmlns:a16="http://schemas.microsoft.com/office/drawing/2014/main" id="{5BA8373C-0736-C948-A58C-9A309341AE30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4521" name="AutoShape 1">
          <a:extLst>
            <a:ext uri="{FF2B5EF4-FFF2-40B4-BE49-F238E27FC236}">
              <a16:creationId xmlns:a16="http://schemas.microsoft.com/office/drawing/2014/main" id="{8B04AC3F-54A0-E045-A157-E3E973978CB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9424" name="Picture 2">
          <a:extLst>
            <a:ext uri="{FF2B5EF4-FFF2-40B4-BE49-F238E27FC236}">
              <a16:creationId xmlns:a16="http://schemas.microsoft.com/office/drawing/2014/main" id="{7B774881-C516-8748-B4BA-77E7A3FE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4523" name="AutoShape 1">
          <a:extLst>
            <a:ext uri="{FF2B5EF4-FFF2-40B4-BE49-F238E27FC236}">
              <a16:creationId xmlns:a16="http://schemas.microsoft.com/office/drawing/2014/main" id="{DE610B81-2D28-1C44-85B0-1D0FBF5AF67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4524" name="AutoShape 1">
          <a:extLst>
            <a:ext uri="{FF2B5EF4-FFF2-40B4-BE49-F238E27FC236}">
              <a16:creationId xmlns:a16="http://schemas.microsoft.com/office/drawing/2014/main" id="{F6922432-FFCB-1D44-B836-31BEB54B3B9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4525" name="AutoShape 1">
          <a:extLst>
            <a:ext uri="{FF2B5EF4-FFF2-40B4-BE49-F238E27FC236}">
              <a16:creationId xmlns:a16="http://schemas.microsoft.com/office/drawing/2014/main" id="{A661BA44-48CB-2A45-9CF2-5160F366AC3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4526" name="AutoShape 1">
          <a:extLst>
            <a:ext uri="{FF2B5EF4-FFF2-40B4-BE49-F238E27FC236}">
              <a16:creationId xmlns:a16="http://schemas.microsoft.com/office/drawing/2014/main" id="{AD5E3775-A0F7-1242-8601-CE4D59902CB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5545" name="AutoShape 1">
          <a:extLst>
            <a:ext uri="{FF2B5EF4-FFF2-40B4-BE49-F238E27FC236}">
              <a16:creationId xmlns:a16="http://schemas.microsoft.com/office/drawing/2014/main" id="{1713B1BF-74DC-214D-AC8D-51665F13CA33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0448" name="Picture 2">
          <a:extLst>
            <a:ext uri="{FF2B5EF4-FFF2-40B4-BE49-F238E27FC236}">
              <a16:creationId xmlns:a16="http://schemas.microsoft.com/office/drawing/2014/main" id="{93C0C560-146A-494D-9B9D-97D72460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5547" name="AutoShape 1">
          <a:extLst>
            <a:ext uri="{FF2B5EF4-FFF2-40B4-BE49-F238E27FC236}">
              <a16:creationId xmlns:a16="http://schemas.microsoft.com/office/drawing/2014/main" id="{33BAB861-31B9-3B4B-9B3D-EBE4CACF75B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5548" name="AutoShape 1">
          <a:extLst>
            <a:ext uri="{FF2B5EF4-FFF2-40B4-BE49-F238E27FC236}">
              <a16:creationId xmlns:a16="http://schemas.microsoft.com/office/drawing/2014/main" id="{F569D37E-D7E3-6047-A51F-6980DDE4160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5549" name="AutoShape 1">
          <a:extLst>
            <a:ext uri="{FF2B5EF4-FFF2-40B4-BE49-F238E27FC236}">
              <a16:creationId xmlns:a16="http://schemas.microsoft.com/office/drawing/2014/main" id="{F2763A87-A92C-C74D-BEEE-8E13389308E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5550" name="AutoShape 1">
          <a:extLst>
            <a:ext uri="{FF2B5EF4-FFF2-40B4-BE49-F238E27FC236}">
              <a16:creationId xmlns:a16="http://schemas.microsoft.com/office/drawing/2014/main" id="{052446CA-F203-D949-A2DC-CD9F893000E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101600</xdr:rowOff>
    </xdr:from>
    <xdr:to>
      <xdr:col>1</xdr:col>
      <xdr:colOff>1219200</xdr:colOff>
      <xdr:row>1</xdr:row>
      <xdr:rowOff>609600</xdr:rowOff>
    </xdr:to>
    <xdr:pic>
      <xdr:nvPicPr>
        <xdr:cNvPr id="2990" name="Picture 1">
          <a:extLst>
            <a:ext uri="{FF2B5EF4-FFF2-40B4-BE49-F238E27FC236}">
              <a16:creationId xmlns:a16="http://schemas.microsoft.com/office/drawing/2014/main" id="{021F399B-74F4-F14C-A32D-CFDE9F42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4064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0</xdr:rowOff>
    </xdr:from>
    <xdr:to>
      <xdr:col>10</xdr:col>
      <xdr:colOff>444500</xdr:colOff>
      <xdr:row>32</xdr:row>
      <xdr:rowOff>215900</xdr:rowOff>
    </xdr:to>
    <xdr:sp macro="" textlink="">
      <xdr:nvSpPr>
        <xdr:cNvPr id="306569" name="AutoShape 1">
          <a:extLst>
            <a:ext uri="{FF2B5EF4-FFF2-40B4-BE49-F238E27FC236}">
              <a16:creationId xmlns:a16="http://schemas.microsoft.com/office/drawing/2014/main" id="{0F6BF7EB-8F8D-234D-92A0-8BF5B4B64B2E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1472" name="Picture 2">
          <a:extLst>
            <a:ext uri="{FF2B5EF4-FFF2-40B4-BE49-F238E27FC236}">
              <a16:creationId xmlns:a16="http://schemas.microsoft.com/office/drawing/2014/main" id="{96985EF3-DA25-4F42-B621-EF9F78CCB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444500</xdr:colOff>
      <xdr:row>32</xdr:row>
      <xdr:rowOff>215900</xdr:rowOff>
    </xdr:to>
    <xdr:sp macro="" textlink="">
      <xdr:nvSpPr>
        <xdr:cNvPr id="306571" name="AutoShape 1">
          <a:extLst>
            <a:ext uri="{FF2B5EF4-FFF2-40B4-BE49-F238E27FC236}">
              <a16:creationId xmlns:a16="http://schemas.microsoft.com/office/drawing/2014/main" id="{B868F5AA-3A16-A34F-B8AF-80973C442069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444500</xdr:colOff>
      <xdr:row>32</xdr:row>
      <xdr:rowOff>215900</xdr:rowOff>
    </xdr:to>
    <xdr:sp macro="" textlink="">
      <xdr:nvSpPr>
        <xdr:cNvPr id="306572" name="AutoShape 1">
          <a:extLst>
            <a:ext uri="{FF2B5EF4-FFF2-40B4-BE49-F238E27FC236}">
              <a16:creationId xmlns:a16="http://schemas.microsoft.com/office/drawing/2014/main" id="{B7253CD3-24B0-9949-B3E1-93ACE64780E4}"/>
            </a:ext>
          </a:extLst>
        </xdr:cNvPr>
        <xdr:cNvSpPr>
          <a:spLocks noChangeArrowheads="1"/>
        </xdr:cNvSpPr>
      </xdr:nvSpPr>
      <xdr:spPr bwMode="auto">
        <a:xfrm>
          <a:off x="7175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6573" name="AutoShape 1">
          <a:extLst>
            <a:ext uri="{FF2B5EF4-FFF2-40B4-BE49-F238E27FC236}">
              <a16:creationId xmlns:a16="http://schemas.microsoft.com/office/drawing/2014/main" id="{AB22F999-19C4-DD4B-9D4A-E299444C246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6574" name="AutoShape 1">
          <a:extLst>
            <a:ext uri="{FF2B5EF4-FFF2-40B4-BE49-F238E27FC236}">
              <a16:creationId xmlns:a16="http://schemas.microsoft.com/office/drawing/2014/main" id="{60AEC0C7-374D-F643-8013-DEA688C0970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3735" name="AutoShape 1">
          <a:extLst>
            <a:ext uri="{FF2B5EF4-FFF2-40B4-BE49-F238E27FC236}">
              <a16:creationId xmlns:a16="http://schemas.microsoft.com/office/drawing/2014/main" id="{CFD394E5-3654-4540-AFF2-84F8040CC043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7370" name="Picture 2">
          <a:extLst>
            <a:ext uri="{FF2B5EF4-FFF2-40B4-BE49-F238E27FC236}">
              <a16:creationId xmlns:a16="http://schemas.microsoft.com/office/drawing/2014/main" id="{C17FEDB7-CF69-3243-A714-6E0E785A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3737" name="AutoShape 1">
          <a:extLst>
            <a:ext uri="{FF2B5EF4-FFF2-40B4-BE49-F238E27FC236}">
              <a16:creationId xmlns:a16="http://schemas.microsoft.com/office/drawing/2014/main" id="{9C1D10D3-FDE5-C741-9ED5-0CD5836EEBE2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3738" name="AutoShape 1">
          <a:extLst>
            <a:ext uri="{FF2B5EF4-FFF2-40B4-BE49-F238E27FC236}">
              <a16:creationId xmlns:a16="http://schemas.microsoft.com/office/drawing/2014/main" id="{48EEC918-F8C9-2348-B880-AC6E55DBBEF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3739" name="AutoShape 1">
          <a:extLst>
            <a:ext uri="{FF2B5EF4-FFF2-40B4-BE49-F238E27FC236}">
              <a16:creationId xmlns:a16="http://schemas.microsoft.com/office/drawing/2014/main" id="{66339021-85E5-FC4A-8D9D-4100CEE9511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3740" name="AutoShape 1">
          <a:extLst>
            <a:ext uri="{FF2B5EF4-FFF2-40B4-BE49-F238E27FC236}">
              <a16:creationId xmlns:a16="http://schemas.microsoft.com/office/drawing/2014/main" id="{CEFDCC32-EDEF-7449-AAC7-40CBB858194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3741" name="AutoShape 1">
          <a:extLst>
            <a:ext uri="{FF2B5EF4-FFF2-40B4-BE49-F238E27FC236}">
              <a16:creationId xmlns:a16="http://schemas.microsoft.com/office/drawing/2014/main" id="{9E578409-EEC7-F443-A6F7-C79C4B5CA2C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3742" name="AutoShape 1">
          <a:extLst>
            <a:ext uri="{FF2B5EF4-FFF2-40B4-BE49-F238E27FC236}">
              <a16:creationId xmlns:a16="http://schemas.microsoft.com/office/drawing/2014/main" id="{7125220B-5C09-CC41-9AF5-515910AC7FC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7595" name="AutoShape 1">
          <a:extLst>
            <a:ext uri="{FF2B5EF4-FFF2-40B4-BE49-F238E27FC236}">
              <a16:creationId xmlns:a16="http://schemas.microsoft.com/office/drawing/2014/main" id="{C1B3917F-A5E3-A840-A9A1-54D7C2CFA0F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2496" name="Picture 2">
          <a:extLst>
            <a:ext uri="{FF2B5EF4-FFF2-40B4-BE49-F238E27FC236}">
              <a16:creationId xmlns:a16="http://schemas.microsoft.com/office/drawing/2014/main" id="{5C8495A8-C0DB-4349-B147-8F9F0DE2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7597" name="AutoShape 1">
          <a:extLst>
            <a:ext uri="{FF2B5EF4-FFF2-40B4-BE49-F238E27FC236}">
              <a16:creationId xmlns:a16="http://schemas.microsoft.com/office/drawing/2014/main" id="{25335048-837E-284F-A6EE-62CC1611AE1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7598" name="AutoShape 1">
          <a:extLst>
            <a:ext uri="{FF2B5EF4-FFF2-40B4-BE49-F238E27FC236}">
              <a16:creationId xmlns:a16="http://schemas.microsoft.com/office/drawing/2014/main" id="{91717950-D330-1843-858E-9A73129C874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7599" name="AutoShape 1">
          <a:extLst>
            <a:ext uri="{FF2B5EF4-FFF2-40B4-BE49-F238E27FC236}">
              <a16:creationId xmlns:a16="http://schemas.microsoft.com/office/drawing/2014/main" id="{9CB2968B-458C-8741-A72E-DCCEC9D49C9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7600" name="AutoShape 1">
          <a:extLst>
            <a:ext uri="{FF2B5EF4-FFF2-40B4-BE49-F238E27FC236}">
              <a16:creationId xmlns:a16="http://schemas.microsoft.com/office/drawing/2014/main" id="{776BEDC4-9CB9-7642-844C-85E9CB4800EB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4214" name="Picture 2">
          <a:extLst>
            <a:ext uri="{FF2B5EF4-FFF2-40B4-BE49-F238E27FC236}">
              <a16:creationId xmlns:a16="http://schemas.microsoft.com/office/drawing/2014/main" id="{6076F15F-3879-E342-AB03-8C9B51C5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349C2B3-C8B7-5C47-B924-1A71246A528A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0D2A83B-F1CF-2D4F-8231-E610398BDD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86000" name="Picture 2">
          <a:extLst>
            <a:ext uri="{FF2B5EF4-FFF2-40B4-BE49-F238E27FC236}">
              <a16:creationId xmlns:a16="http://schemas.microsoft.com/office/drawing/2014/main" id="{6D270F5D-ACAD-CC4D-8F78-E524C75D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7756" name="AutoShape 1">
          <a:extLst>
            <a:ext uri="{FF2B5EF4-FFF2-40B4-BE49-F238E27FC236}">
              <a16:creationId xmlns:a16="http://schemas.microsoft.com/office/drawing/2014/main" id="{FA8BA86C-6FCF-3C4B-8BAE-E5897143A4D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7757" name="AutoShape 1">
          <a:extLst>
            <a:ext uri="{FF2B5EF4-FFF2-40B4-BE49-F238E27FC236}">
              <a16:creationId xmlns:a16="http://schemas.microsoft.com/office/drawing/2014/main" id="{E0499640-0565-1946-A714-F981F393935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8617" name="AutoShape 1">
          <a:extLst>
            <a:ext uri="{FF2B5EF4-FFF2-40B4-BE49-F238E27FC236}">
              <a16:creationId xmlns:a16="http://schemas.microsoft.com/office/drawing/2014/main" id="{9B0A86F7-6755-EC44-82F8-50455550CC8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3520" name="Picture 2">
          <a:extLst>
            <a:ext uri="{FF2B5EF4-FFF2-40B4-BE49-F238E27FC236}">
              <a16:creationId xmlns:a16="http://schemas.microsoft.com/office/drawing/2014/main" id="{B2B0122E-96CC-524B-860F-BC247F46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8619" name="AutoShape 1">
          <a:extLst>
            <a:ext uri="{FF2B5EF4-FFF2-40B4-BE49-F238E27FC236}">
              <a16:creationId xmlns:a16="http://schemas.microsoft.com/office/drawing/2014/main" id="{4F833197-DC00-5545-B9B4-AD32452F8570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8620" name="AutoShape 1">
          <a:extLst>
            <a:ext uri="{FF2B5EF4-FFF2-40B4-BE49-F238E27FC236}">
              <a16:creationId xmlns:a16="http://schemas.microsoft.com/office/drawing/2014/main" id="{BFB59066-FA17-524F-BC5C-A4643AC37FB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8621" name="AutoShape 1">
          <a:extLst>
            <a:ext uri="{FF2B5EF4-FFF2-40B4-BE49-F238E27FC236}">
              <a16:creationId xmlns:a16="http://schemas.microsoft.com/office/drawing/2014/main" id="{76A62CD2-FD5A-194F-B009-DD41E5A8C19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8622" name="AutoShape 1">
          <a:extLst>
            <a:ext uri="{FF2B5EF4-FFF2-40B4-BE49-F238E27FC236}">
              <a16:creationId xmlns:a16="http://schemas.microsoft.com/office/drawing/2014/main" id="{C05D7B4D-87E3-C046-A7E6-F7153397BCD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6335" name="Picture 2">
          <a:extLst>
            <a:ext uri="{FF2B5EF4-FFF2-40B4-BE49-F238E27FC236}">
              <a16:creationId xmlns:a16="http://schemas.microsoft.com/office/drawing/2014/main" id="{8FFF7401-650F-874E-BAC7-172EC178A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9643" name="AutoShape 1">
          <a:extLst>
            <a:ext uri="{FF2B5EF4-FFF2-40B4-BE49-F238E27FC236}">
              <a16:creationId xmlns:a16="http://schemas.microsoft.com/office/drawing/2014/main" id="{DE244C7A-2DF5-9844-9EFA-3477EA2C382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09644" name="AutoShape 1">
          <a:extLst>
            <a:ext uri="{FF2B5EF4-FFF2-40B4-BE49-F238E27FC236}">
              <a16:creationId xmlns:a16="http://schemas.microsoft.com/office/drawing/2014/main" id="{8945F987-5E4C-8048-A269-83AA7118E90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09645" name="AutoShape 1">
          <a:extLst>
            <a:ext uri="{FF2B5EF4-FFF2-40B4-BE49-F238E27FC236}">
              <a16:creationId xmlns:a16="http://schemas.microsoft.com/office/drawing/2014/main" id="{CC3315BD-639F-854D-9EAC-E22E28A69AA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09646" name="AutoShape 1">
          <a:extLst>
            <a:ext uri="{FF2B5EF4-FFF2-40B4-BE49-F238E27FC236}">
              <a16:creationId xmlns:a16="http://schemas.microsoft.com/office/drawing/2014/main" id="{700BD9F1-6F9C-B649-A036-88571742F86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5311" name="Picture 2">
          <a:extLst>
            <a:ext uri="{FF2B5EF4-FFF2-40B4-BE49-F238E27FC236}">
              <a16:creationId xmlns:a16="http://schemas.microsoft.com/office/drawing/2014/main" id="{F7DD2441-CDE6-C843-91C9-DC71C958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1691" name="AutoShape 1">
          <a:extLst>
            <a:ext uri="{FF2B5EF4-FFF2-40B4-BE49-F238E27FC236}">
              <a16:creationId xmlns:a16="http://schemas.microsoft.com/office/drawing/2014/main" id="{FBC4296E-940C-A841-BB92-DEBC8AE8C124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1692" name="AutoShape 1">
          <a:extLst>
            <a:ext uri="{FF2B5EF4-FFF2-40B4-BE49-F238E27FC236}">
              <a16:creationId xmlns:a16="http://schemas.microsoft.com/office/drawing/2014/main" id="{2372B776-9BED-A145-80EF-7198DAD38E4C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1693" name="AutoShape 1">
          <a:extLst>
            <a:ext uri="{FF2B5EF4-FFF2-40B4-BE49-F238E27FC236}">
              <a16:creationId xmlns:a16="http://schemas.microsoft.com/office/drawing/2014/main" id="{376DE203-4BED-8348-A3B1-0206F90704B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1694" name="AutoShape 1">
          <a:extLst>
            <a:ext uri="{FF2B5EF4-FFF2-40B4-BE49-F238E27FC236}">
              <a16:creationId xmlns:a16="http://schemas.microsoft.com/office/drawing/2014/main" id="{16504B28-EB7C-A749-A035-BE663B91F87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5453" name="Picture 2">
          <a:extLst>
            <a:ext uri="{FF2B5EF4-FFF2-40B4-BE49-F238E27FC236}">
              <a16:creationId xmlns:a16="http://schemas.microsoft.com/office/drawing/2014/main" id="{459CF13E-CF17-BC47-B668-068BC5FC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26959" name="AutoShape 1">
          <a:extLst>
            <a:ext uri="{FF2B5EF4-FFF2-40B4-BE49-F238E27FC236}">
              <a16:creationId xmlns:a16="http://schemas.microsoft.com/office/drawing/2014/main" id="{03ECC6EA-8789-FD4B-829A-661C466BC44B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26960" name="AutoShape 1">
          <a:extLst>
            <a:ext uri="{FF2B5EF4-FFF2-40B4-BE49-F238E27FC236}">
              <a16:creationId xmlns:a16="http://schemas.microsoft.com/office/drawing/2014/main" id="{161BEEE1-B523-9943-9C89-8F48FF32E024}"/>
            </a:ext>
          </a:extLst>
        </xdr:cNvPr>
        <xdr:cNvSpPr>
          <a:spLocks noChangeArrowheads="1"/>
        </xdr:cNvSpPr>
      </xdr:nvSpPr>
      <xdr:spPr bwMode="auto">
        <a:xfrm>
          <a:off x="8953500" y="69723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961" name="AutoShape 1">
          <a:extLst>
            <a:ext uri="{FF2B5EF4-FFF2-40B4-BE49-F238E27FC236}">
              <a16:creationId xmlns:a16="http://schemas.microsoft.com/office/drawing/2014/main" id="{9F429044-BCCE-7549-86F8-06E2B7D9243D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2" name="AutoShape 1">
          <a:extLst>
            <a:ext uri="{FF2B5EF4-FFF2-40B4-BE49-F238E27FC236}">
              <a16:creationId xmlns:a16="http://schemas.microsoft.com/office/drawing/2014/main" id="{137808C0-E490-514A-9B48-D8FFE40772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326963" name="AutoShape 1">
          <a:extLst>
            <a:ext uri="{FF2B5EF4-FFF2-40B4-BE49-F238E27FC236}">
              <a16:creationId xmlns:a16="http://schemas.microsoft.com/office/drawing/2014/main" id="{7C8D97B7-18C2-4948-9BA6-841ACB95A194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4" name="AutoShape 1">
          <a:extLst>
            <a:ext uri="{FF2B5EF4-FFF2-40B4-BE49-F238E27FC236}">
              <a16:creationId xmlns:a16="http://schemas.microsoft.com/office/drawing/2014/main" id="{15C4248C-4410-504A-93FF-6AE900581F2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965" name="AutoShape 1">
          <a:extLst>
            <a:ext uri="{FF2B5EF4-FFF2-40B4-BE49-F238E27FC236}">
              <a16:creationId xmlns:a16="http://schemas.microsoft.com/office/drawing/2014/main" id="{97A562E3-88A8-C44A-9875-AF2F266843C8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966" name="AutoShape 1">
          <a:extLst>
            <a:ext uri="{FF2B5EF4-FFF2-40B4-BE49-F238E27FC236}">
              <a16:creationId xmlns:a16="http://schemas.microsoft.com/office/drawing/2014/main" id="{415C1E9A-DD16-7E4A-9D69-0391BF18133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A9E7EFC5-0DB7-3F42-B012-C16B0E0F110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85EB51CA-BB84-FB41-8ABD-1C7548A8D30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101600</xdr:colOff>
      <xdr:row>6</xdr:row>
      <xdr:rowOff>38100</xdr:rowOff>
    </xdr:from>
    <xdr:to>
      <xdr:col>13</xdr:col>
      <xdr:colOff>622300</xdr:colOff>
      <xdr:row>10</xdr:row>
      <xdr:rowOff>38100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F5BE9568-B12F-7A43-83D7-376AB41FDE25}"/>
            </a:ext>
          </a:extLst>
        </xdr:cNvPr>
        <xdr:cNvSpPr>
          <a:spLocks noChangeArrowheads="1"/>
        </xdr:cNvSpPr>
      </xdr:nvSpPr>
      <xdr:spPr bwMode="auto">
        <a:xfrm>
          <a:off x="9055100" y="19812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E0F4C04-2262-574F-AF94-1062408A6C68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CE6A258-C639-D94A-8C7B-C2929E0AC17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D47C2D58-66E1-944C-8E25-1453049D98B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7359" name="Picture 2">
          <a:extLst>
            <a:ext uri="{FF2B5EF4-FFF2-40B4-BE49-F238E27FC236}">
              <a16:creationId xmlns:a16="http://schemas.microsoft.com/office/drawing/2014/main" id="{C18C41BB-9BD6-3E4C-ABA6-F2AA32BC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0667" name="AutoShape 1">
          <a:extLst>
            <a:ext uri="{FF2B5EF4-FFF2-40B4-BE49-F238E27FC236}">
              <a16:creationId xmlns:a16="http://schemas.microsoft.com/office/drawing/2014/main" id="{725E4BF5-60D3-8B47-BCD4-9EA44D5229D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0668" name="AutoShape 1">
          <a:extLst>
            <a:ext uri="{FF2B5EF4-FFF2-40B4-BE49-F238E27FC236}">
              <a16:creationId xmlns:a16="http://schemas.microsoft.com/office/drawing/2014/main" id="{FE031179-6476-BC4D-AD07-534A1629985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0669" name="AutoShape 1">
          <a:extLst>
            <a:ext uri="{FF2B5EF4-FFF2-40B4-BE49-F238E27FC236}">
              <a16:creationId xmlns:a16="http://schemas.microsoft.com/office/drawing/2014/main" id="{2826F5EE-2F41-F34C-A6D9-A6A4570759E4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0670" name="AutoShape 1">
          <a:extLst>
            <a:ext uri="{FF2B5EF4-FFF2-40B4-BE49-F238E27FC236}">
              <a16:creationId xmlns:a16="http://schemas.microsoft.com/office/drawing/2014/main" id="{BD8F3BB0-F973-DE45-A674-AE5082A1F13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</xdr:row>
      <xdr:rowOff>152400</xdr:rowOff>
    </xdr:from>
    <xdr:to>
      <xdr:col>1</xdr:col>
      <xdr:colOff>1181100</xdr:colOff>
      <xdr:row>1</xdr:row>
      <xdr:rowOff>660400</xdr:rowOff>
    </xdr:to>
    <xdr:pic>
      <xdr:nvPicPr>
        <xdr:cNvPr id="4018" name="Picture 1">
          <a:extLst>
            <a:ext uri="{FF2B5EF4-FFF2-40B4-BE49-F238E27FC236}">
              <a16:creationId xmlns:a16="http://schemas.microsoft.com/office/drawing/2014/main" id="{B4D247A1-CC1D-F449-9DBD-92D4B50A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457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8383" name="Picture 2">
          <a:extLst>
            <a:ext uri="{FF2B5EF4-FFF2-40B4-BE49-F238E27FC236}">
              <a16:creationId xmlns:a16="http://schemas.microsoft.com/office/drawing/2014/main" id="{1266B78A-AF34-0140-B53A-D2A56316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2715" name="AutoShape 1">
          <a:extLst>
            <a:ext uri="{FF2B5EF4-FFF2-40B4-BE49-F238E27FC236}">
              <a16:creationId xmlns:a16="http://schemas.microsoft.com/office/drawing/2014/main" id="{560A4905-1B0C-3B4B-90A0-5193C1952B5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2716" name="AutoShape 1">
          <a:extLst>
            <a:ext uri="{FF2B5EF4-FFF2-40B4-BE49-F238E27FC236}">
              <a16:creationId xmlns:a16="http://schemas.microsoft.com/office/drawing/2014/main" id="{67B89CC8-193F-1440-A084-2439B855C72F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2717" name="AutoShape 1">
          <a:extLst>
            <a:ext uri="{FF2B5EF4-FFF2-40B4-BE49-F238E27FC236}">
              <a16:creationId xmlns:a16="http://schemas.microsoft.com/office/drawing/2014/main" id="{74538019-44F1-6F4F-BD6E-00C795A7174A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2718" name="AutoShape 1">
          <a:extLst>
            <a:ext uri="{FF2B5EF4-FFF2-40B4-BE49-F238E27FC236}">
              <a16:creationId xmlns:a16="http://schemas.microsoft.com/office/drawing/2014/main" id="{6C6F3596-F2A7-4F41-9EE6-D4C2C943EB8D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199407" name="Picture 2">
          <a:extLst>
            <a:ext uri="{FF2B5EF4-FFF2-40B4-BE49-F238E27FC236}">
              <a16:creationId xmlns:a16="http://schemas.microsoft.com/office/drawing/2014/main" id="{7439F277-20D1-C44C-8031-EF2C99D7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3739" name="AutoShape 1">
          <a:extLst>
            <a:ext uri="{FF2B5EF4-FFF2-40B4-BE49-F238E27FC236}">
              <a16:creationId xmlns:a16="http://schemas.microsoft.com/office/drawing/2014/main" id="{583E08E8-FB13-B44D-9D85-947637D0638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3740" name="AutoShape 1">
          <a:extLst>
            <a:ext uri="{FF2B5EF4-FFF2-40B4-BE49-F238E27FC236}">
              <a16:creationId xmlns:a16="http://schemas.microsoft.com/office/drawing/2014/main" id="{4A2BE007-D751-E846-9718-E435EAE7A46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3741" name="AutoShape 1">
          <a:extLst>
            <a:ext uri="{FF2B5EF4-FFF2-40B4-BE49-F238E27FC236}">
              <a16:creationId xmlns:a16="http://schemas.microsoft.com/office/drawing/2014/main" id="{37B30428-1082-CF4F-BAA6-DDE9F665E813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3742" name="AutoShape 1">
          <a:extLst>
            <a:ext uri="{FF2B5EF4-FFF2-40B4-BE49-F238E27FC236}">
              <a16:creationId xmlns:a16="http://schemas.microsoft.com/office/drawing/2014/main" id="{16268F0E-1A89-C84C-B392-22FDA7D730F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0431" name="Picture 2">
          <a:extLst>
            <a:ext uri="{FF2B5EF4-FFF2-40B4-BE49-F238E27FC236}">
              <a16:creationId xmlns:a16="http://schemas.microsoft.com/office/drawing/2014/main" id="{4F5AF28D-4DD7-AD4E-BDDD-BAFF7AE2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4763" name="AutoShape 1">
          <a:extLst>
            <a:ext uri="{FF2B5EF4-FFF2-40B4-BE49-F238E27FC236}">
              <a16:creationId xmlns:a16="http://schemas.microsoft.com/office/drawing/2014/main" id="{EDD351A7-BFB5-2044-9C43-7D88363E366B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4764" name="AutoShape 1">
          <a:extLst>
            <a:ext uri="{FF2B5EF4-FFF2-40B4-BE49-F238E27FC236}">
              <a16:creationId xmlns:a16="http://schemas.microsoft.com/office/drawing/2014/main" id="{C54BE84F-C687-8746-8F2A-7609766E474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4765" name="AutoShape 1">
          <a:extLst>
            <a:ext uri="{FF2B5EF4-FFF2-40B4-BE49-F238E27FC236}">
              <a16:creationId xmlns:a16="http://schemas.microsoft.com/office/drawing/2014/main" id="{DED22DFA-3E60-7449-A79D-4B838928AE9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4766" name="AutoShape 1">
          <a:extLst>
            <a:ext uri="{FF2B5EF4-FFF2-40B4-BE49-F238E27FC236}">
              <a16:creationId xmlns:a16="http://schemas.microsoft.com/office/drawing/2014/main" id="{4FDF800E-579E-BA46-8126-B28C899B7E4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1455" name="Picture 2">
          <a:extLst>
            <a:ext uri="{FF2B5EF4-FFF2-40B4-BE49-F238E27FC236}">
              <a16:creationId xmlns:a16="http://schemas.microsoft.com/office/drawing/2014/main" id="{6BC455B3-0B52-9D44-96F9-44D83C78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5787" name="AutoShape 1">
          <a:extLst>
            <a:ext uri="{FF2B5EF4-FFF2-40B4-BE49-F238E27FC236}">
              <a16:creationId xmlns:a16="http://schemas.microsoft.com/office/drawing/2014/main" id="{156B7594-5D7F-8E44-B19C-E5156236E72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520700</xdr:colOff>
      <xdr:row>31</xdr:row>
      <xdr:rowOff>215900</xdr:rowOff>
    </xdr:to>
    <xdr:sp macro="" textlink="">
      <xdr:nvSpPr>
        <xdr:cNvPr id="315788" name="AutoShape 1">
          <a:extLst>
            <a:ext uri="{FF2B5EF4-FFF2-40B4-BE49-F238E27FC236}">
              <a16:creationId xmlns:a16="http://schemas.microsoft.com/office/drawing/2014/main" id="{CE054AA8-D829-BE49-B061-D8AF69BAE00E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5789" name="AutoShape 1">
          <a:extLst>
            <a:ext uri="{FF2B5EF4-FFF2-40B4-BE49-F238E27FC236}">
              <a16:creationId xmlns:a16="http://schemas.microsoft.com/office/drawing/2014/main" id="{6E43C7C0-71BB-F44A-A6EF-EA677612B865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5790" name="AutoShape 1">
          <a:extLst>
            <a:ext uri="{FF2B5EF4-FFF2-40B4-BE49-F238E27FC236}">
              <a16:creationId xmlns:a16="http://schemas.microsoft.com/office/drawing/2014/main" id="{56BC05E4-CD09-7E49-A91C-CBCF04BC3AB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2479" name="Picture 2">
          <a:extLst>
            <a:ext uri="{FF2B5EF4-FFF2-40B4-BE49-F238E27FC236}">
              <a16:creationId xmlns:a16="http://schemas.microsoft.com/office/drawing/2014/main" id="{DD216F0D-8C04-9D4A-8B67-0F9CA000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6811" name="AutoShape 1">
          <a:extLst>
            <a:ext uri="{FF2B5EF4-FFF2-40B4-BE49-F238E27FC236}">
              <a16:creationId xmlns:a16="http://schemas.microsoft.com/office/drawing/2014/main" id="{DF24F584-663D-BC4F-B068-EA535D26902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6812" name="AutoShape 1">
          <a:extLst>
            <a:ext uri="{FF2B5EF4-FFF2-40B4-BE49-F238E27FC236}">
              <a16:creationId xmlns:a16="http://schemas.microsoft.com/office/drawing/2014/main" id="{FC663A69-9F8C-764C-8AD9-5A77CBFB4955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6813" name="AutoShape 1">
          <a:extLst>
            <a:ext uri="{FF2B5EF4-FFF2-40B4-BE49-F238E27FC236}">
              <a16:creationId xmlns:a16="http://schemas.microsoft.com/office/drawing/2014/main" id="{D9E1A7BB-F7B9-314D-98A4-90AC1B2CE17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6814" name="AutoShape 1">
          <a:extLst>
            <a:ext uri="{FF2B5EF4-FFF2-40B4-BE49-F238E27FC236}">
              <a16:creationId xmlns:a16="http://schemas.microsoft.com/office/drawing/2014/main" id="{454E07C6-1F98-DE46-8EF2-B2D21C82CBE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3503" name="Picture 2">
          <a:extLst>
            <a:ext uri="{FF2B5EF4-FFF2-40B4-BE49-F238E27FC236}">
              <a16:creationId xmlns:a16="http://schemas.microsoft.com/office/drawing/2014/main" id="{BAEECD67-C39F-8E4B-996E-5EA2A670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7835" name="AutoShape 1">
          <a:extLst>
            <a:ext uri="{FF2B5EF4-FFF2-40B4-BE49-F238E27FC236}">
              <a16:creationId xmlns:a16="http://schemas.microsoft.com/office/drawing/2014/main" id="{34B8E62B-6762-154E-9D53-5C6E343F5D49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17836" name="AutoShape 1">
          <a:extLst>
            <a:ext uri="{FF2B5EF4-FFF2-40B4-BE49-F238E27FC236}">
              <a16:creationId xmlns:a16="http://schemas.microsoft.com/office/drawing/2014/main" id="{D0046A3E-350E-DB4D-A316-BC43FDF1FB7D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7837" name="AutoShape 1">
          <a:extLst>
            <a:ext uri="{FF2B5EF4-FFF2-40B4-BE49-F238E27FC236}">
              <a16:creationId xmlns:a16="http://schemas.microsoft.com/office/drawing/2014/main" id="{78F5B69F-1321-D540-BD15-016010047B6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7838" name="AutoShape 1">
          <a:extLst>
            <a:ext uri="{FF2B5EF4-FFF2-40B4-BE49-F238E27FC236}">
              <a16:creationId xmlns:a16="http://schemas.microsoft.com/office/drawing/2014/main" id="{2B0C2579-FB47-5C4F-A99A-50DBAC61F9F8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7432" name="Picture 2">
          <a:extLst>
            <a:ext uri="{FF2B5EF4-FFF2-40B4-BE49-F238E27FC236}">
              <a16:creationId xmlns:a16="http://schemas.microsoft.com/office/drawing/2014/main" id="{679D3F63-99CD-8C45-B88E-726EF8D7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5495" name="AutoShape 1">
          <a:extLst>
            <a:ext uri="{FF2B5EF4-FFF2-40B4-BE49-F238E27FC236}">
              <a16:creationId xmlns:a16="http://schemas.microsoft.com/office/drawing/2014/main" id="{514ADE6B-2031-9844-95B2-75C73194954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5496" name="AutoShape 1">
          <a:extLst>
            <a:ext uri="{FF2B5EF4-FFF2-40B4-BE49-F238E27FC236}">
              <a16:creationId xmlns:a16="http://schemas.microsoft.com/office/drawing/2014/main" id="{77E8AFB1-C3CD-4C47-B0B0-01103741B984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5497" name="AutoShape 1">
          <a:extLst>
            <a:ext uri="{FF2B5EF4-FFF2-40B4-BE49-F238E27FC236}">
              <a16:creationId xmlns:a16="http://schemas.microsoft.com/office/drawing/2014/main" id="{C5E962C2-22A1-EF46-9379-07CCDA5E07FC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5498" name="AutoShape 1">
          <a:extLst>
            <a:ext uri="{FF2B5EF4-FFF2-40B4-BE49-F238E27FC236}">
              <a16:creationId xmlns:a16="http://schemas.microsoft.com/office/drawing/2014/main" id="{448FBC01-A61D-C047-8ED8-316F4DBDFD5E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13</xdr:col>
      <xdr:colOff>520700</xdr:colOff>
      <xdr:row>11</xdr:row>
      <xdr:rowOff>228600</xdr:rowOff>
    </xdr:to>
    <xdr:sp macro="" textlink="">
      <xdr:nvSpPr>
        <xdr:cNvPr id="296565" name="AutoShape 1">
          <a:extLst>
            <a:ext uri="{FF2B5EF4-FFF2-40B4-BE49-F238E27FC236}">
              <a16:creationId xmlns:a16="http://schemas.microsoft.com/office/drawing/2014/main" id="{E0B79470-952F-F74D-81DE-BB9624D442F9}"/>
            </a:ext>
          </a:extLst>
        </xdr:cNvPr>
        <xdr:cNvSpPr>
          <a:spLocks noChangeArrowheads="1"/>
        </xdr:cNvSpPr>
      </xdr:nvSpPr>
      <xdr:spPr bwMode="auto">
        <a:xfrm>
          <a:off x="8953500" y="24003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6566" name="AutoShape 1">
          <a:extLst>
            <a:ext uri="{FF2B5EF4-FFF2-40B4-BE49-F238E27FC236}">
              <a16:creationId xmlns:a16="http://schemas.microsoft.com/office/drawing/2014/main" id="{605296B9-6435-2342-AE85-CE927BD7A1C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4422" name="Picture 2">
          <a:extLst>
            <a:ext uri="{FF2B5EF4-FFF2-40B4-BE49-F238E27FC236}">
              <a16:creationId xmlns:a16="http://schemas.microsoft.com/office/drawing/2014/main" id="{0B21906A-7688-7F40-B501-7881DAF5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6568" name="AutoShape 1">
          <a:extLst>
            <a:ext uri="{FF2B5EF4-FFF2-40B4-BE49-F238E27FC236}">
              <a16:creationId xmlns:a16="http://schemas.microsoft.com/office/drawing/2014/main" id="{09AE5E54-9D9D-8141-8AA2-32E66A733D18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296569" name="AutoShape 1">
          <a:extLst>
            <a:ext uri="{FF2B5EF4-FFF2-40B4-BE49-F238E27FC236}">
              <a16:creationId xmlns:a16="http://schemas.microsoft.com/office/drawing/2014/main" id="{E7DA4B72-8689-CE42-980B-ACCBC3E6A1B1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296570" name="AutoShape 1">
          <a:extLst>
            <a:ext uri="{FF2B5EF4-FFF2-40B4-BE49-F238E27FC236}">
              <a16:creationId xmlns:a16="http://schemas.microsoft.com/office/drawing/2014/main" id="{62A03F61-D2D6-B44A-BA0B-E42E252FCFF0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296571" name="AutoShape 1">
          <a:extLst>
            <a:ext uri="{FF2B5EF4-FFF2-40B4-BE49-F238E27FC236}">
              <a16:creationId xmlns:a16="http://schemas.microsoft.com/office/drawing/2014/main" id="{7308521B-AC35-4744-B160-CC6F3646E63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8284" name="Picture 2">
          <a:extLst>
            <a:ext uri="{FF2B5EF4-FFF2-40B4-BE49-F238E27FC236}">
              <a16:creationId xmlns:a16="http://schemas.microsoft.com/office/drawing/2014/main" id="{E6A4E156-6A52-A840-AF19-7C5FBEE8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3306399-F4BF-8942-B945-6908D736932A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520700</xdr:colOff>
      <xdr:row>32</xdr:row>
      <xdr:rowOff>215900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F55BE60-2EA4-7D42-A534-D9D7182CD417}"/>
            </a:ext>
          </a:extLst>
        </xdr:cNvPr>
        <xdr:cNvSpPr>
          <a:spLocks noChangeArrowheads="1"/>
        </xdr:cNvSpPr>
      </xdr:nvSpPr>
      <xdr:spPr bwMode="auto">
        <a:xfrm>
          <a:off x="8953500" y="70485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60D1A01-94A2-BB4A-B6B7-030671BF34BB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B912582B-CDCD-1A4D-866A-662DAEC219B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990601</xdr:colOff>
      <xdr:row>2</xdr:row>
      <xdr:rowOff>239824</xdr:rowOff>
    </xdr:from>
    <xdr:to>
      <xdr:col>9</xdr:col>
      <xdr:colOff>25401</xdr:colOff>
      <xdr:row>22</xdr:row>
      <xdr:rowOff>112824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147723E-8EC8-6842-A97A-340A1A836585}"/>
            </a:ext>
          </a:extLst>
        </xdr:cNvPr>
        <xdr:cNvSpPr txBox="1"/>
      </xdr:nvSpPr>
      <xdr:spPr>
        <a:xfrm rot="19993878">
          <a:off x="990601" y="1154224"/>
          <a:ext cx="6210300" cy="4559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5400" b="1" i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AFLYST PÅ GRUND AF SNE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3933" name="Picture 1">
          <a:extLst>
            <a:ext uri="{FF2B5EF4-FFF2-40B4-BE49-F238E27FC236}">
              <a16:creationId xmlns:a16="http://schemas.microsoft.com/office/drawing/2014/main" id="{7E210CE4-0FFE-4C41-9210-4383D6D0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3934" name="Picture 1">
          <a:extLst>
            <a:ext uri="{FF2B5EF4-FFF2-40B4-BE49-F238E27FC236}">
              <a16:creationId xmlns:a16="http://schemas.microsoft.com/office/drawing/2014/main" id="{8B636E58-000C-E547-9DB2-63D828FE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1948" name="Picture 1">
          <a:extLst>
            <a:ext uri="{FF2B5EF4-FFF2-40B4-BE49-F238E27FC236}">
              <a16:creationId xmlns:a16="http://schemas.microsoft.com/office/drawing/2014/main" id="{25735E9E-77A2-9049-A280-5A083873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469900</xdr:colOff>
      <xdr:row>1</xdr:row>
      <xdr:rowOff>63500</xdr:rowOff>
    </xdr:from>
    <xdr:to>
      <xdr:col>1</xdr:col>
      <xdr:colOff>1079500</xdr:colOff>
      <xdr:row>1</xdr:row>
      <xdr:rowOff>571500</xdr:rowOff>
    </xdr:to>
    <xdr:pic>
      <xdr:nvPicPr>
        <xdr:cNvPr id="131949" name="Picture 1">
          <a:extLst>
            <a:ext uri="{FF2B5EF4-FFF2-40B4-BE49-F238E27FC236}">
              <a16:creationId xmlns:a16="http://schemas.microsoft.com/office/drawing/2014/main" id="{2195D983-E1BC-524A-B90E-CF3EAFF5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330200"/>
          <a:ext cx="6096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101600</xdr:rowOff>
    </xdr:from>
    <xdr:to>
      <xdr:col>1</xdr:col>
      <xdr:colOff>812800</xdr:colOff>
      <xdr:row>1</xdr:row>
      <xdr:rowOff>622300</xdr:rowOff>
    </xdr:to>
    <xdr:pic>
      <xdr:nvPicPr>
        <xdr:cNvPr id="134927" name="Picture 1">
          <a:extLst>
            <a:ext uri="{FF2B5EF4-FFF2-40B4-BE49-F238E27FC236}">
              <a16:creationId xmlns:a16="http://schemas.microsoft.com/office/drawing/2014/main" id="{22999899-36F5-2A4B-AF5F-06EBAB54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55600"/>
          <a:ext cx="609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330200</xdr:colOff>
      <xdr:row>1</xdr:row>
      <xdr:rowOff>114300</xdr:rowOff>
    </xdr:from>
    <xdr:to>
      <xdr:col>6</xdr:col>
      <xdr:colOff>939800</xdr:colOff>
      <xdr:row>1</xdr:row>
      <xdr:rowOff>635000</xdr:rowOff>
    </xdr:to>
    <xdr:pic>
      <xdr:nvPicPr>
        <xdr:cNvPr id="134928" name="Picture 3">
          <a:extLst>
            <a:ext uri="{FF2B5EF4-FFF2-40B4-BE49-F238E27FC236}">
              <a16:creationId xmlns:a16="http://schemas.microsoft.com/office/drawing/2014/main" id="{F16AA883-3237-2649-BC6A-83D77CDD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68300"/>
          <a:ext cx="609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1077" name="AutoShape 1">
          <a:extLst>
            <a:ext uri="{FF2B5EF4-FFF2-40B4-BE49-F238E27FC236}">
              <a16:creationId xmlns:a16="http://schemas.microsoft.com/office/drawing/2014/main" id="{4F76EE18-485A-5649-9728-D6D581C6BA48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09716" name="Picture 2">
          <a:extLst>
            <a:ext uri="{FF2B5EF4-FFF2-40B4-BE49-F238E27FC236}">
              <a16:creationId xmlns:a16="http://schemas.microsoft.com/office/drawing/2014/main" id="{7F657B76-9066-C243-A2E4-3021B832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1079" name="AutoShape 1">
          <a:extLst>
            <a:ext uri="{FF2B5EF4-FFF2-40B4-BE49-F238E27FC236}">
              <a16:creationId xmlns:a16="http://schemas.microsoft.com/office/drawing/2014/main" id="{1866F819-F622-A04A-8EE7-B14FFFECC11F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1080" name="AutoShape 1">
          <a:extLst>
            <a:ext uri="{FF2B5EF4-FFF2-40B4-BE49-F238E27FC236}">
              <a16:creationId xmlns:a16="http://schemas.microsoft.com/office/drawing/2014/main" id="{BF1413C4-D83A-5F4D-B5D8-90F2FB8D433F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1" name="AutoShape 1">
          <a:extLst>
            <a:ext uri="{FF2B5EF4-FFF2-40B4-BE49-F238E27FC236}">
              <a16:creationId xmlns:a16="http://schemas.microsoft.com/office/drawing/2014/main" id="{0763B963-ADB6-3041-ACFA-A37B77CB41C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2" name="AutoShape 1">
          <a:extLst>
            <a:ext uri="{FF2B5EF4-FFF2-40B4-BE49-F238E27FC236}">
              <a16:creationId xmlns:a16="http://schemas.microsoft.com/office/drawing/2014/main" id="{8DFC98FD-A2A9-D74B-AB7A-2DBC5B208701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3" name="AutoShape 1">
          <a:extLst>
            <a:ext uri="{FF2B5EF4-FFF2-40B4-BE49-F238E27FC236}">
              <a16:creationId xmlns:a16="http://schemas.microsoft.com/office/drawing/2014/main" id="{7DD8DEB4-FD65-AC45-8485-48833041F5B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4" name="AutoShape 1">
          <a:extLst>
            <a:ext uri="{FF2B5EF4-FFF2-40B4-BE49-F238E27FC236}">
              <a16:creationId xmlns:a16="http://schemas.microsoft.com/office/drawing/2014/main" id="{A06C72FA-F3C7-1E49-8B8D-AAA0861CD74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1085" name="AutoShape 1">
          <a:extLst>
            <a:ext uri="{FF2B5EF4-FFF2-40B4-BE49-F238E27FC236}">
              <a16:creationId xmlns:a16="http://schemas.microsoft.com/office/drawing/2014/main" id="{62B86049-35DA-FA44-A746-91F56DD04029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1086" name="AutoShape 1">
          <a:extLst>
            <a:ext uri="{FF2B5EF4-FFF2-40B4-BE49-F238E27FC236}">
              <a16:creationId xmlns:a16="http://schemas.microsoft.com/office/drawing/2014/main" id="{BECA5B6C-92E9-E54F-8391-8E7466EA10B9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47" name="AutoShape 1">
          <a:extLst>
            <a:ext uri="{FF2B5EF4-FFF2-40B4-BE49-F238E27FC236}">
              <a16:creationId xmlns:a16="http://schemas.microsoft.com/office/drawing/2014/main" id="{6C792EB8-169D-2C44-B8EE-CAF3CA008D3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0740" name="Picture 2">
          <a:extLst>
            <a:ext uri="{FF2B5EF4-FFF2-40B4-BE49-F238E27FC236}">
              <a16:creationId xmlns:a16="http://schemas.microsoft.com/office/drawing/2014/main" id="{5429E3D9-A0DE-CD4A-89BB-5FABF40F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49" name="AutoShape 1">
          <a:extLst>
            <a:ext uri="{FF2B5EF4-FFF2-40B4-BE49-F238E27FC236}">
              <a16:creationId xmlns:a16="http://schemas.microsoft.com/office/drawing/2014/main" id="{988F1BA4-74E7-6A45-97F6-73570969E901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6050" name="AutoShape 1">
          <a:extLst>
            <a:ext uri="{FF2B5EF4-FFF2-40B4-BE49-F238E27FC236}">
              <a16:creationId xmlns:a16="http://schemas.microsoft.com/office/drawing/2014/main" id="{8CFD4E06-7030-134B-A08C-401F3B97F880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1" name="AutoShape 1">
          <a:extLst>
            <a:ext uri="{FF2B5EF4-FFF2-40B4-BE49-F238E27FC236}">
              <a16:creationId xmlns:a16="http://schemas.microsoft.com/office/drawing/2014/main" id="{0620B51C-D8E0-0C47-8A1E-E5EB5E6D51AF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052" name="AutoShape 1">
          <a:extLst>
            <a:ext uri="{FF2B5EF4-FFF2-40B4-BE49-F238E27FC236}">
              <a16:creationId xmlns:a16="http://schemas.microsoft.com/office/drawing/2014/main" id="{D199F0BC-80DC-A548-92F4-5301185DBB70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3" name="AutoShape 1">
          <a:extLst>
            <a:ext uri="{FF2B5EF4-FFF2-40B4-BE49-F238E27FC236}">
              <a16:creationId xmlns:a16="http://schemas.microsoft.com/office/drawing/2014/main" id="{E13F05F0-7D7E-A440-8607-BB32A86ECD54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054" name="AutoShape 1">
          <a:extLst>
            <a:ext uri="{FF2B5EF4-FFF2-40B4-BE49-F238E27FC236}">
              <a16:creationId xmlns:a16="http://schemas.microsoft.com/office/drawing/2014/main" id="{117FF63C-A669-524A-92E6-7C4303B4180C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6055" name="AutoShape 1">
          <a:extLst>
            <a:ext uri="{FF2B5EF4-FFF2-40B4-BE49-F238E27FC236}">
              <a16:creationId xmlns:a16="http://schemas.microsoft.com/office/drawing/2014/main" id="{7CAF90CE-27D0-A443-9AE7-538CFB396B3D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6056" name="AutoShape 1">
          <a:extLst>
            <a:ext uri="{FF2B5EF4-FFF2-40B4-BE49-F238E27FC236}">
              <a16:creationId xmlns:a16="http://schemas.microsoft.com/office/drawing/2014/main" id="{54666D37-2D41-CB48-8300-7D6341EB470A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097" name="AutoShape 1">
          <a:extLst>
            <a:ext uri="{FF2B5EF4-FFF2-40B4-BE49-F238E27FC236}">
              <a16:creationId xmlns:a16="http://schemas.microsoft.com/office/drawing/2014/main" id="{44D40DF9-A26A-FA4B-87D3-FD59B3713064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11764" name="Picture 2">
          <a:extLst>
            <a:ext uri="{FF2B5EF4-FFF2-40B4-BE49-F238E27FC236}">
              <a16:creationId xmlns:a16="http://schemas.microsoft.com/office/drawing/2014/main" id="{6A5F67A1-EA57-C549-9CD0-49CD9D31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099" name="AutoShape 1">
          <a:extLst>
            <a:ext uri="{FF2B5EF4-FFF2-40B4-BE49-F238E27FC236}">
              <a16:creationId xmlns:a16="http://schemas.microsoft.com/office/drawing/2014/main" id="{6B35521F-9D57-3040-80C5-6BBF354030BC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25100" name="AutoShape 1">
          <a:extLst>
            <a:ext uri="{FF2B5EF4-FFF2-40B4-BE49-F238E27FC236}">
              <a16:creationId xmlns:a16="http://schemas.microsoft.com/office/drawing/2014/main" id="{16E85BC3-C465-0145-B49A-5093F8E6955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1" name="AutoShape 1">
          <a:extLst>
            <a:ext uri="{FF2B5EF4-FFF2-40B4-BE49-F238E27FC236}">
              <a16:creationId xmlns:a16="http://schemas.microsoft.com/office/drawing/2014/main" id="{CF110C6F-170E-8C4D-9113-9A2CF96FA107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5102" name="AutoShape 1">
          <a:extLst>
            <a:ext uri="{FF2B5EF4-FFF2-40B4-BE49-F238E27FC236}">
              <a16:creationId xmlns:a16="http://schemas.microsoft.com/office/drawing/2014/main" id="{3EE06746-2CC6-1F4B-92C9-3C02F4D0C5D5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3" name="AutoShape 1">
          <a:extLst>
            <a:ext uri="{FF2B5EF4-FFF2-40B4-BE49-F238E27FC236}">
              <a16:creationId xmlns:a16="http://schemas.microsoft.com/office/drawing/2014/main" id="{60002351-1E6D-AB49-9CA2-3FAC55026786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5104" name="AutoShape 1">
          <a:extLst>
            <a:ext uri="{FF2B5EF4-FFF2-40B4-BE49-F238E27FC236}">
              <a16:creationId xmlns:a16="http://schemas.microsoft.com/office/drawing/2014/main" id="{8BDC1FF3-C36F-6747-AC88-29697056CC22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25105" name="AutoShape 1">
          <a:extLst>
            <a:ext uri="{FF2B5EF4-FFF2-40B4-BE49-F238E27FC236}">
              <a16:creationId xmlns:a16="http://schemas.microsoft.com/office/drawing/2014/main" id="{D2A1FA90-8188-864A-BA5A-26FA2621A6E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25106" name="AutoShape 1">
          <a:extLst>
            <a:ext uri="{FF2B5EF4-FFF2-40B4-BE49-F238E27FC236}">
              <a16:creationId xmlns:a16="http://schemas.microsoft.com/office/drawing/2014/main" id="{0FBED8C2-65B3-0844-A55E-4B08EE9F74A3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47" name="AutoShape 1">
          <a:extLst>
            <a:ext uri="{FF2B5EF4-FFF2-40B4-BE49-F238E27FC236}">
              <a16:creationId xmlns:a16="http://schemas.microsoft.com/office/drawing/2014/main" id="{900A8FD2-158D-754C-81F3-39E58BF7BCA2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0</xdr:col>
      <xdr:colOff>482600</xdr:colOff>
      <xdr:row>0</xdr:row>
      <xdr:rowOff>127000</xdr:rowOff>
    </xdr:from>
    <xdr:to>
      <xdr:col>0</xdr:col>
      <xdr:colOff>1346200</xdr:colOff>
      <xdr:row>1</xdr:row>
      <xdr:rowOff>304800</xdr:rowOff>
    </xdr:to>
    <xdr:pic>
      <xdr:nvPicPr>
        <xdr:cNvPr id="226346" name="Picture 2">
          <a:extLst>
            <a:ext uri="{FF2B5EF4-FFF2-40B4-BE49-F238E27FC236}">
              <a16:creationId xmlns:a16="http://schemas.microsoft.com/office/drawing/2014/main" id="{E4C78CFF-D324-034A-8A55-0DC80769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27000"/>
          <a:ext cx="86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49" name="AutoShape 1">
          <a:extLst>
            <a:ext uri="{FF2B5EF4-FFF2-40B4-BE49-F238E27FC236}">
              <a16:creationId xmlns:a16="http://schemas.microsoft.com/office/drawing/2014/main" id="{9D16A170-C97D-094A-B87F-B2ED9AFA8D2A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520700</xdr:colOff>
      <xdr:row>20</xdr:row>
      <xdr:rowOff>177800</xdr:rowOff>
    </xdr:to>
    <xdr:sp macro="" textlink="">
      <xdr:nvSpPr>
        <xdr:cNvPr id="319950" name="AutoShape 1">
          <a:extLst>
            <a:ext uri="{FF2B5EF4-FFF2-40B4-BE49-F238E27FC236}">
              <a16:creationId xmlns:a16="http://schemas.microsoft.com/office/drawing/2014/main" id="{D1EDB42A-CF71-A844-A87C-FB4547184AAB}"/>
            </a:ext>
          </a:extLst>
        </xdr:cNvPr>
        <xdr:cNvSpPr>
          <a:spLocks noChangeArrowheads="1"/>
        </xdr:cNvSpPr>
      </xdr:nvSpPr>
      <xdr:spPr bwMode="auto">
        <a:xfrm>
          <a:off x="8953500" y="44577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9951" name="AutoShape 1">
          <a:extLst>
            <a:ext uri="{FF2B5EF4-FFF2-40B4-BE49-F238E27FC236}">
              <a16:creationId xmlns:a16="http://schemas.microsoft.com/office/drawing/2014/main" id="{517E9A05-EAB1-804A-B83D-E95A45E51E62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9952" name="AutoShape 1">
          <a:extLst>
            <a:ext uri="{FF2B5EF4-FFF2-40B4-BE49-F238E27FC236}">
              <a16:creationId xmlns:a16="http://schemas.microsoft.com/office/drawing/2014/main" id="{C0C2D96E-16F8-5B4E-AA55-ABA11952F7B6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520700</xdr:colOff>
      <xdr:row>9</xdr:row>
      <xdr:rowOff>228600</xdr:rowOff>
    </xdr:to>
    <xdr:sp macro="" textlink="">
      <xdr:nvSpPr>
        <xdr:cNvPr id="319953" name="AutoShape 1">
          <a:extLst>
            <a:ext uri="{FF2B5EF4-FFF2-40B4-BE49-F238E27FC236}">
              <a16:creationId xmlns:a16="http://schemas.microsoft.com/office/drawing/2014/main" id="{1FF55F9F-286E-BE48-BE24-CBCCAD65C99E}"/>
            </a:ext>
          </a:extLst>
        </xdr:cNvPr>
        <xdr:cNvSpPr>
          <a:spLocks noChangeArrowheads="1"/>
        </xdr:cNvSpPr>
      </xdr:nvSpPr>
      <xdr:spPr bwMode="auto">
        <a:xfrm>
          <a:off x="8953500" y="19431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520700</xdr:colOff>
      <xdr:row>10</xdr:row>
      <xdr:rowOff>228600</xdr:rowOff>
    </xdr:to>
    <xdr:sp macro="" textlink="">
      <xdr:nvSpPr>
        <xdr:cNvPr id="319954" name="AutoShape 1">
          <a:extLst>
            <a:ext uri="{FF2B5EF4-FFF2-40B4-BE49-F238E27FC236}">
              <a16:creationId xmlns:a16="http://schemas.microsoft.com/office/drawing/2014/main" id="{EC5CA7F7-C0CE-FB4C-989F-FDAEF7295054}"/>
            </a:ext>
          </a:extLst>
        </xdr:cNvPr>
        <xdr:cNvSpPr>
          <a:spLocks noChangeArrowheads="1"/>
        </xdr:cNvSpPr>
      </xdr:nvSpPr>
      <xdr:spPr bwMode="auto">
        <a:xfrm>
          <a:off x="8953500" y="2171700"/>
          <a:ext cx="1092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da-DK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MM1/Documents/Inngolf/InnGolf%202014/InnGolf%20Turkish%20Invita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 FINAL"/>
    </sheetNames>
    <sheetDataSet>
      <sheetData sheetId="0">
        <row r="10">
          <cell r="A10" t="str">
            <v>Jan Hegner</v>
          </cell>
          <cell r="B10">
            <v>12.4</v>
          </cell>
          <cell r="C10">
            <v>24</v>
          </cell>
          <cell r="D10">
            <v>29</v>
          </cell>
          <cell r="E10">
            <v>27</v>
          </cell>
          <cell r="F10">
            <v>80</v>
          </cell>
          <cell r="G10">
            <v>7</v>
          </cell>
        </row>
        <row r="11">
          <cell r="A11" t="str">
            <v>Karsten Valeur</v>
          </cell>
          <cell r="B11">
            <v>14.2</v>
          </cell>
          <cell r="C11">
            <v>26</v>
          </cell>
          <cell r="D11">
            <v>23</v>
          </cell>
          <cell r="E11">
            <v>31</v>
          </cell>
          <cell r="F11">
            <v>80</v>
          </cell>
          <cell r="G11">
            <v>8</v>
          </cell>
        </row>
        <row r="12">
          <cell r="A12" t="str">
            <v>Jesper Vohs Nielsen</v>
          </cell>
          <cell r="B12">
            <v>13.8</v>
          </cell>
          <cell r="C12">
            <v>28</v>
          </cell>
          <cell r="D12">
            <v>30</v>
          </cell>
          <cell r="E12">
            <v>20</v>
          </cell>
          <cell r="F12">
            <v>78</v>
          </cell>
          <cell r="G12">
            <v>9</v>
          </cell>
        </row>
        <row r="13">
          <cell r="A13" t="str">
            <v>Henning B. Nielsen</v>
          </cell>
          <cell r="B13">
            <v>14.6</v>
          </cell>
          <cell r="C13">
            <v>27</v>
          </cell>
          <cell r="D13">
            <v>22</v>
          </cell>
          <cell r="E13">
            <v>27</v>
          </cell>
          <cell r="F13">
            <v>76</v>
          </cell>
          <cell r="G13">
            <v>10</v>
          </cell>
        </row>
        <row r="14">
          <cell r="A14" t="str">
            <v>Morten Clausen</v>
          </cell>
          <cell r="B14">
            <v>18</v>
          </cell>
          <cell r="C14">
            <v>25</v>
          </cell>
          <cell r="D14">
            <v>22</v>
          </cell>
          <cell r="E14">
            <v>28</v>
          </cell>
          <cell r="F14">
            <v>75</v>
          </cell>
          <cell r="G1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8000"/>
    <pageSetUpPr fitToPage="1"/>
  </sheetPr>
  <dimension ref="B1:Q31"/>
  <sheetViews>
    <sheetView tabSelected="1" topLeftCell="B1" workbookViewId="0">
      <selection activeCell="K3" sqref="K3:L27"/>
    </sheetView>
  </sheetViews>
  <sheetFormatPr baseColWidth="10" defaultColWidth="9.1640625" defaultRowHeight="14" x14ac:dyDescent="0.15"/>
  <cols>
    <col min="1" max="1" width="0" style="1" hidden="1" customWidth="1"/>
    <col min="2" max="2" width="4.6640625" style="1" customWidth="1"/>
    <col min="3" max="3" width="20.33203125" style="2" customWidth="1"/>
    <col min="4" max="4" width="6.83203125" style="3" customWidth="1"/>
    <col min="5" max="5" width="5.5" style="3" customWidth="1"/>
    <col min="6" max="6" width="4.6640625" style="1" customWidth="1"/>
    <col min="7" max="7" width="20.33203125" style="1" customWidth="1"/>
    <col min="8" max="8" width="12.5" style="4" customWidth="1"/>
    <col min="9" max="9" width="5.5" style="1" customWidth="1"/>
    <col min="10" max="10" width="4.6640625" style="1" customWidth="1"/>
    <col min="11" max="11" width="20.33203125" style="1" customWidth="1"/>
    <col min="12" max="12" width="8.1640625" style="5" customWidth="1"/>
    <col min="13" max="13" width="5.6640625" style="1" customWidth="1"/>
    <col min="14" max="14" width="4.6640625" style="1" customWidth="1"/>
    <col min="15" max="15" width="14.5" style="1" customWidth="1"/>
    <col min="16" max="16" width="9.6640625" style="5" customWidth="1"/>
    <col min="17" max="16384" width="9.1640625" style="1"/>
  </cols>
  <sheetData>
    <row r="1" spans="2:16" ht="44" customHeight="1" x14ac:dyDescent="0.15">
      <c r="B1" s="440" t="s">
        <v>201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2:16" s="6" customFormat="1" ht="18" customHeight="1" thickBot="1" x14ac:dyDescent="0.2">
      <c r="B2" s="441" t="s">
        <v>0</v>
      </c>
      <c r="C2" s="442"/>
      <c r="D2" s="443"/>
      <c r="E2" s="7"/>
      <c r="F2" s="441" t="s">
        <v>1</v>
      </c>
      <c r="G2" s="442"/>
      <c r="H2" s="443"/>
      <c r="J2" s="441" t="s">
        <v>2</v>
      </c>
      <c r="K2" s="442"/>
      <c r="L2" s="443"/>
      <c r="N2" s="441" t="s">
        <v>3</v>
      </c>
      <c r="O2" s="442"/>
      <c r="P2" s="443"/>
    </row>
    <row r="3" spans="2:16" ht="18" customHeight="1" x14ac:dyDescent="0.15">
      <c r="B3" s="248">
        <v>1</v>
      </c>
      <c r="C3" s="249" t="str">
        <f>Point!B3</f>
        <v>Jan H</v>
      </c>
      <c r="D3" s="250">
        <f>Point!C3</f>
        <v>121</v>
      </c>
      <c r="E3" s="56"/>
      <c r="F3" s="251">
        <v>1</v>
      </c>
      <c r="G3" s="252" t="str">
        <f>Money!B3</f>
        <v>Jan H</v>
      </c>
      <c r="H3" s="253">
        <f>Money!C3</f>
        <v>24430000</v>
      </c>
      <c r="I3" s="56"/>
      <c r="J3" s="251">
        <v>1</v>
      </c>
      <c r="K3" s="308" t="str">
        <f>Putts!B3</f>
        <v>Jan H</v>
      </c>
      <c r="L3" s="309">
        <f>Putts!C3</f>
        <v>30</v>
      </c>
      <c r="M3" s="56"/>
      <c r="N3" s="251">
        <v>1</v>
      </c>
      <c r="O3" s="317" t="str">
        <f>'Tæt-flag'!B3</f>
        <v>Karsten V</v>
      </c>
      <c r="P3" s="309">
        <f>'Tæt-flag'!C3</f>
        <v>0.72</v>
      </c>
    </row>
    <row r="4" spans="2:16" ht="18" customHeight="1" x14ac:dyDescent="0.15">
      <c r="B4" s="254">
        <v>2</v>
      </c>
      <c r="C4" s="255" t="str">
        <f>Point!B4</f>
        <v>Jesper VN</v>
      </c>
      <c r="D4" s="256">
        <f>Point!C4</f>
        <v>102</v>
      </c>
      <c r="E4" s="56"/>
      <c r="F4" s="257">
        <v>2</v>
      </c>
      <c r="G4" s="258" t="str">
        <f>Money!B4</f>
        <v>Jesper VN</v>
      </c>
      <c r="H4" s="259">
        <f>Money!C4</f>
        <v>18740000</v>
      </c>
      <c r="I4" s="56"/>
      <c r="J4" s="257">
        <v>2</v>
      </c>
      <c r="K4" s="310" t="str">
        <f>Putts!B4</f>
        <v>Erik P</v>
      </c>
      <c r="L4" s="311">
        <f>Putts!C4</f>
        <v>30.444444444444443</v>
      </c>
      <c r="M4" s="56"/>
      <c r="N4" s="257">
        <v>2</v>
      </c>
      <c r="O4" s="324" t="str">
        <f>'Tæt-flag'!B4</f>
        <v>Ole M</v>
      </c>
      <c r="P4" s="311">
        <f>'Tæt-flag'!C4</f>
        <v>1.39</v>
      </c>
    </row>
    <row r="5" spans="2:16" ht="18" customHeight="1" thickBot="1" x14ac:dyDescent="0.2">
      <c r="B5" s="260">
        <v>3</v>
      </c>
      <c r="C5" s="261" t="str">
        <f>Point!B5</f>
        <v>Morten C</v>
      </c>
      <c r="D5" s="262">
        <f>Point!C5</f>
        <v>102</v>
      </c>
      <c r="E5" s="56"/>
      <c r="F5" s="263">
        <v>3</v>
      </c>
      <c r="G5" s="264" t="str">
        <f>Money!B5</f>
        <v>Morten C</v>
      </c>
      <c r="H5" s="265">
        <f>Money!C5</f>
        <v>17980000</v>
      </c>
      <c r="I5" s="56"/>
      <c r="J5" s="263">
        <v>3</v>
      </c>
      <c r="K5" s="312" t="str">
        <f>Putts!B5</f>
        <v>Jakob K</v>
      </c>
      <c r="L5" s="313">
        <f>Putts!C5</f>
        <v>30.777777777777779</v>
      </c>
      <c r="M5" s="56"/>
      <c r="N5" s="263">
        <v>3</v>
      </c>
      <c r="O5" s="325" t="str">
        <f>'Tæt-flag'!B5</f>
        <v>Robin T</v>
      </c>
      <c r="P5" s="313">
        <f>'Tæt-flag'!C5</f>
        <v>1.67</v>
      </c>
    </row>
    <row r="6" spans="2:16" ht="18" customHeight="1" x14ac:dyDescent="0.15">
      <c r="B6" s="266">
        <v>4</v>
      </c>
      <c r="C6" s="267" t="str">
        <f>Point!B6</f>
        <v>Erik P</v>
      </c>
      <c r="D6" s="268">
        <f>Point!C6</f>
        <v>83</v>
      </c>
      <c r="E6" s="56"/>
      <c r="F6" s="269">
        <v>4</v>
      </c>
      <c r="G6" s="270" t="str">
        <f>Money!B6</f>
        <v>Erik P</v>
      </c>
      <c r="H6" s="271">
        <f>Money!C6</f>
        <v>17550000</v>
      </c>
      <c r="I6" s="56"/>
      <c r="J6" s="269">
        <v>4</v>
      </c>
      <c r="K6" s="314" t="str">
        <f>Putts!B6</f>
        <v>Robin T</v>
      </c>
      <c r="L6" s="315">
        <f>Putts!C6</f>
        <v>32.055555555555557</v>
      </c>
      <c r="M6" s="56"/>
      <c r="N6" s="269">
        <v>4</v>
      </c>
      <c r="O6" s="326" t="str">
        <f>'Tæt-flag'!B6</f>
        <v>Robin T</v>
      </c>
      <c r="P6" s="315">
        <f>'Tæt-flag'!C6</f>
        <v>1.68</v>
      </c>
    </row>
    <row r="7" spans="2:16" ht="18" customHeight="1" x14ac:dyDescent="0.15">
      <c r="B7" s="272">
        <v>5</v>
      </c>
      <c r="C7" s="267" t="str">
        <f>Point!B7</f>
        <v>Jakob K</v>
      </c>
      <c r="D7" s="268">
        <f>Point!C7</f>
        <v>80</v>
      </c>
      <c r="E7" s="56"/>
      <c r="F7" s="273">
        <v>5</v>
      </c>
      <c r="G7" s="270" t="str">
        <f>Money!B7</f>
        <v>Jakob K</v>
      </c>
      <c r="H7" s="271">
        <f>Money!C7</f>
        <v>16540000</v>
      </c>
      <c r="I7" s="56"/>
      <c r="J7" s="273">
        <v>5</v>
      </c>
      <c r="K7" s="310" t="str">
        <f>Putts!B7</f>
        <v>Carsten L</v>
      </c>
      <c r="L7" s="316">
        <f>Putts!C7</f>
        <v>32.111111111111114</v>
      </c>
      <c r="M7" s="56"/>
      <c r="N7" s="273">
        <v>5</v>
      </c>
      <c r="O7" s="324" t="str">
        <f>'Tæt-flag'!B7</f>
        <v>Martin A</v>
      </c>
      <c r="P7" s="316">
        <f>'Tæt-flag'!C7</f>
        <v>1.75</v>
      </c>
    </row>
    <row r="8" spans="2:16" ht="18" customHeight="1" x14ac:dyDescent="0.15">
      <c r="B8" s="272">
        <v>6</v>
      </c>
      <c r="C8" s="267" t="str">
        <f>Point!B8</f>
        <v>Børge H</v>
      </c>
      <c r="D8" s="268">
        <f>Point!C8</f>
        <v>76</v>
      </c>
      <c r="E8" s="56"/>
      <c r="F8" s="273">
        <v>6</v>
      </c>
      <c r="G8" s="270" t="str">
        <f>Money!B8</f>
        <v>Robin T</v>
      </c>
      <c r="H8" s="271">
        <f>Money!C8</f>
        <v>14000000</v>
      </c>
      <c r="I8" s="56"/>
      <c r="J8" s="273">
        <v>6</v>
      </c>
      <c r="K8" s="314" t="str">
        <f>Putts!B8</f>
        <v>Jesper VN</v>
      </c>
      <c r="L8" s="315">
        <f>Putts!C8</f>
        <v>32.555555555555557</v>
      </c>
      <c r="M8" s="56"/>
      <c r="N8" s="273">
        <v>6</v>
      </c>
      <c r="O8" s="324" t="str">
        <f>'Tæt-flag'!B8</f>
        <v>Børge H</v>
      </c>
      <c r="P8" s="316">
        <f>'Tæt-flag'!C8</f>
        <v>1.77</v>
      </c>
    </row>
    <row r="9" spans="2:16" ht="18" customHeight="1" x14ac:dyDescent="0.15">
      <c r="B9" s="272">
        <v>7</v>
      </c>
      <c r="C9" s="267" t="str">
        <f>Point!B9</f>
        <v>Robin T</v>
      </c>
      <c r="D9" s="268">
        <f>Point!C9</f>
        <v>76</v>
      </c>
      <c r="E9" s="56"/>
      <c r="F9" s="273">
        <v>7</v>
      </c>
      <c r="G9" s="270" t="str">
        <f>Money!B9</f>
        <v>Martin A</v>
      </c>
      <c r="H9" s="271">
        <f>Money!C9</f>
        <v>13560000</v>
      </c>
      <c r="I9" s="56"/>
      <c r="J9" s="273">
        <v>7</v>
      </c>
      <c r="K9" s="310" t="str">
        <f>Putts!B9</f>
        <v>Karsten V</v>
      </c>
      <c r="L9" s="316">
        <f>Putts!C9</f>
        <v>32.555555555555557</v>
      </c>
      <c r="M9" s="56"/>
      <c r="N9" s="273">
        <v>7</v>
      </c>
      <c r="O9" s="324" t="str">
        <f>'Tæt-flag'!B9</f>
        <v>Erik P</v>
      </c>
      <c r="P9" s="316">
        <f>'Tæt-flag'!C9</f>
        <v>1.8</v>
      </c>
    </row>
    <row r="10" spans="2:16" ht="18" customHeight="1" x14ac:dyDescent="0.15">
      <c r="B10" s="272">
        <v>8</v>
      </c>
      <c r="C10" s="267" t="str">
        <f>Point!B10</f>
        <v>Karsten V</v>
      </c>
      <c r="D10" s="268">
        <f>Point!C10</f>
        <v>65</v>
      </c>
      <c r="E10" s="56"/>
      <c r="F10" s="273">
        <v>8</v>
      </c>
      <c r="G10" s="270" t="str">
        <f>Money!B10</f>
        <v>Børge H</v>
      </c>
      <c r="H10" s="271">
        <f>Money!C10</f>
        <v>13430000</v>
      </c>
      <c r="I10" s="56"/>
      <c r="J10" s="273">
        <v>8</v>
      </c>
      <c r="K10" s="314" t="str">
        <f>Putts!B10</f>
        <v>Børge H</v>
      </c>
      <c r="L10" s="315">
        <f>Putts!C10</f>
        <v>33.277777777777779</v>
      </c>
      <c r="M10" s="56"/>
      <c r="N10" s="273">
        <v>8</v>
      </c>
      <c r="O10" s="324" t="str">
        <f>'Tæt-flag'!B10</f>
        <v>Jan H</v>
      </c>
      <c r="P10" s="316">
        <f>'Tæt-flag'!C10</f>
        <v>2.09</v>
      </c>
    </row>
    <row r="11" spans="2:16" ht="18" customHeight="1" x14ac:dyDescent="0.15">
      <c r="B11" s="272">
        <v>9</v>
      </c>
      <c r="C11" s="267" t="str">
        <f>Point!B11</f>
        <v>Carsten L</v>
      </c>
      <c r="D11" s="268">
        <f>Point!C11</f>
        <v>63</v>
      </c>
      <c r="E11" s="56"/>
      <c r="F11" s="273">
        <v>9</v>
      </c>
      <c r="G11" s="270" t="str">
        <f>Money!B11</f>
        <v>Karsten V</v>
      </c>
      <c r="H11" s="271">
        <f>Money!C11</f>
        <v>11880000</v>
      </c>
      <c r="I11" s="56"/>
      <c r="J11" s="273">
        <v>9</v>
      </c>
      <c r="K11" s="310" t="str">
        <f>Putts!B11</f>
        <v>Morten C</v>
      </c>
      <c r="L11" s="316">
        <f>Putts!C11</f>
        <v>34.388888888888886</v>
      </c>
      <c r="M11" s="56"/>
      <c r="N11" s="273">
        <v>9</v>
      </c>
      <c r="O11" s="324" t="str">
        <f>'Tæt-flag'!B11</f>
        <v>John S</v>
      </c>
      <c r="P11" s="316">
        <f>'Tæt-flag'!C11</f>
        <v>2.2799999999999998</v>
      </c>
    </row>
    <row r="12" spans="2:16" ht="18" customHeight="1" x14ac:dyDescent="0.15">
      <c r="B12" s="272">
        <v>10</v>
      </c>
      <c r="C12" s="267" t="str">
        <f>Point!B12</f>
        <v>Martin A</v>
      </c>
      <c r="D12" s="268">
        <f>Point!C12</f>
        <v>62</v>
      </c>
      <c r="E12" s="56"/>
      <c r="F12" s="273">
        <v>10</v>
      </c>
      <c r="G12" s="270" t="str">
        <f>Money!B12</f>
        <v>Steen N</v>
      </c>
      <c r="H12" s="271">
        <f>Money!C12</f>
        <v>11040000</v>
      </c>
      <c r="I12" s="56"/>
      <c r="J12" s="273">
        <v>10</v>
      </c>
      <c r="K12" s="314" t="str">
        <f>Putts!B12</f>
        <v>Steen N</v>
      </c>
      <c r="L12" s="315">
        <f>Putts!C12</f>
        <v>34.555555555555557</v>
      </c>
      <c r="M12" s="56"/>
      <c r="N12" s="273">
        <v>10</v>
      </c>
      <c r="O12" s="324" t="str">
        <f>'Tæt-flag'!B12</f>
        <v>Jakob K</v>
      </c>
      <c r="P12" s="316">
        <f>'Tæt-flag'!C12</f>
        <v>2.33</v>
      </c>
    </row>
    <row r="13" spans="2:16" ht="18" customHeight="1" x14ac:dyDescent="0.15">
      <c r="B13" s="272">
        <v>11</v>
      </c>
      <c r="C13" s="267" t="str">
        <f>Point!B13</f>
        <v>Steen N</v>
      </c>
      <c r="D13" s="268">
        <f>Point!C13</f>
        <v>56</v>
      </c>
      <c r="E13" s="56"/>
      <c r="F13" s="273">
        <v>11</v>
      </c>
      <c r="G13" s="270" t="str">
        <f>Money!B13</f>
        <v>Carsten L</v>
      </c>
      <c r="H13" s="271">
        <f>Money!C13</f>
        <v>10960000</v>
      </c>
      <c r="I13" s="56"/>
      <c r="J13" s="273">
        <v>11</v>
      </c>
      <c r="K13" s="310" t="str">
        <f>Putts!B13</f>
        <v>Hans MV</v>
      </c>
      <c r="L13" s="316">
        <f>Putts!C13</f>
        <v>34.611111111111114</v>
      </c>
      <c r="M13" s="56"/>
      <c r="N13" s="274"/>
      <c r="O13" s="275"/>
      <c r="P13" s="276"/>
    </row>
    <row r="14" spans="2:16" ht="18" customHeight="1" x14ac:dyDescent="0.15">
      <c r="B14" s="272">
        <v>12</v>
      </c>
      <c r="C14" s="267" t="str">
        <f>Point!B14</f>
        <v>Jens L</v>
      </c>
      <c r="D14" s="268">
        <f>Point!C14</f>
        <v>43</v>
      </c>
      <c r="E14" s="56"/>
      <c r="F14" s="273">
        <v>12</v>
      </c>
      <c r="G14" s="270" t="str">
        <f>Money!B14</f>
        <v>Per N</v>
      </c>
      <c r="H14" s="271">
        <f>Money!C14</f>
        <v>9100000</v>
      </c>
      <c r="I14" s="56"/>
      <c r="J14" s="273">
        <v>12</v>
      </c>
      <c r="K14" s="314" t="str">
        <f>Putts!B14</f>
        <v>Carsten D</v>
      </c>
      <c r="L14" s="315">
        <f>Putts!C14</f>
        <v>35.055555555555557</v>
      </c>
      <c r="M14" s="56"/>
      <c r="N14" s="444" t="s">
        <v>4</v>
      </c>
      <c r="O14" s="445"/>
      <c r="P14" s="446"/>
    </row>
    <row r="15" spans="2:16" ht="18" customHeight="1" x14ac:dyDescent="0.15">
      <c r="B15" s="272">
        <v>13</v>
      </c>
      <c r="C15" s="267" t="str">
        <f>Point!B15</f>
        <v>Bo H</v>
      </c>
      <c r="D15" s="268">
        <f>Point!C15</f>
        <v>43</v>
      </c>
      <c r="E15" s="56"/>
      <c r="F15" s="273">
        <v>13</v>
      </c>
      <c r="G15" s="270" t="str">
        <f>Money!B15</f>
        <v>Bo H</v>
      </c>
      <c r="H15" s="271">
        <f>Money!C15</f>
        <v>8740000</v>
      </c>
      <c r="I15" s="56"/>
      <c r="J15" s="273">
        <v>13</v>
      </c>
      <c r="K15" s="310" t="str">
        <f>Putts!B15</f>
        <v>Ole M</v>
      </c>
      <c r="L15" s="316">
        <f>Putts!C15</f>
        <v>35.055555555555557</v>
      </c>
      <c r="M15" s="56"/>
      <c r="N15" s="277">
        <v>1</v>
      </c>
      <c r="O15" s="332" t="str">
        <f>'Tæt-flag'!G3</f>
        <v>Carsten L</v>
      </c>
      <c r="P15" s="386" t="str">
        <f>'Tæt-flag'!H3</f>
        <v>Three Hill</v>
      </c>
    </row>
    <row r="16" spans="2:16" ht="18" customHeight="1" x14ac:dyDescent="0.15">
      <c r="B16" s="272">
        <v>14</v>
      </c>
      <c r="C16" s="267" t="str">
        <f>Point!B16</f>
        <v>Per N</v>
      </c>
      <c r="D16" s="268">
        <f>Point!C16</f>
        <v>39</v>
      </c>
      <c r="E16" s="56"/>
      <c r="F16" s="273">
        <v>14</v>
      </c>
      <c r="G16" s="270" t="str">
        <f>Money!B16</f>
        <v>John S</v>
      </c>
      <c r="H16" s="271">
        <f>Money!C16</f>
        <v>8550000</v>
      </c>
      <c r="I16" s="56"/>
      <c r="J16" s="273">
        <v>14</v>
      </c>
      <c r="K16" s="314" t="str">
        <f>Putts!B16</f>
        <v>John S</v>
      </c>
      <c r="L16" s="315">
        <f>Putts!C16</f>
        <v>35.333333333333336</v>
      </c>
      <c r="M16" s="56"/>
      <c r="N16" s="278">
        <v>2</v>
      </c>
      <c r="O16" s="343" t="str">
        <f>'Tæt-flag'!G4</f>
        <v>Carsten L</v>
      </c>
      <c r="P16" s="316" t="str">
        <f>'Tæt-flag'!H4</f>
        <v>Tyskland</v>
      </c>
    </row>
    <row r="17" spans="2:17" ht="18" customHeight="1" x14ac:dyDescent="0.15">
      <c r="B17" s="272">
        <v>15</v>
      </c>
      <c r="C17" s="267" t="str">
        <f>Point!B17</f>
        <v>Carsten D</v>
      </c>
      <c r="D17" s="268">
        <f>Point!C17</f>
        <v>37</v>
      </c>
      <c r="E17" s="56"/>
      <c r="F17" s="273">
        <v>15</v>
      </c>
      <c r="G17" s="270" t="str">
        <f>Money!B17</f>
        <v>Hans MV</v>
      </c>
      <c r="H17" s="271">
        <f>Money!C17</f>
        <v>7590000</v>
      </c>
      <c r="I17" s="56"/>
      <c r="J17" s="273">
        <v>15</v>
      </c>
      <c r="K17" s="310" t="str">
        <f>Putts!B17</f>
        <v>Jens L</v>
      </c>
      <c r="L17" s="316">
        <f>Putts!C17</f>
        <v>35.388888888888886</v>
      </c>
      <c r="M17" s="56"/>
      <c r="N17" s="278">
        <v>3</v>
      </c>
      <c r="O17" s="343" t="str">
        <f>'Tæt-flag'!G5</f>
        <v>Robin T</v>
      </c>
      <c r="P17" s="316" t="str">
        <f>'Tæt-flag'!H5</f>
        <v>Tyskland</v>
      </c>
    </row>
    <row r="18" spans="2:17" ht="18" customHeight="1" x14ac:dyDescent="0.15">
      <c r="B18" s="272">
        <v>16</v>
      </c>
      <c r="C18" s="267" t="str">
        <f>Point!B18</f>
        <v>John S</v>
      </c>
      <c r="D18" s="268">
        <f>Point!C18</f>
        <v>36</v>
      </c>
      <c r="E18" s="56"/>
      <c r="F18" s="273">
        <v>16</v>
      </c>
      <c r="G18" s="270" t="str">
        <f>Money!B18</f>
        <v>Jens L</v>
      </c>
      <c r="H18" s="271">
        <f>Money!C18</f>
        <v>7520000</v>
      </c>
      <c r="I18" s="56"/>
      <c r="J18" s="273">
        <v>16</v>
      </c>
      <c r="K18" s="314" t="str">
        <f>Putts!B18</f>
        <v>Torben J</v>
      </c>
      <c r="L18" s="315">
        <f>Putts!C18</f>
        <v>35.888888888888886</v>
      </c>
      <c r="M18" s="56"/>
      <c r="N18" s="56"/>
      <c r="O18" s="56"/>
      <c r="P18" s="56"/>
    </row>
    <row r="19" spans="2:17" ht="18" customHeight="1" x14ac:dyDescent="0.15">
      <c r="B19" s="272">
        <v>17</v>
      </c>
      <c r="C19" s="267" t="str">
        <f>Point!B19</f>
        <v>Henning B</v>
      </c>
      <c r="D19" s="268">
        <f>Point!C19</f>
        <v>35</v>
      </c>
      <c r="E19" s="56"/>
      <c r="F19" s="273">
        <v>17</v>
      </c>
      <c r="G19" s="270" t="str">
        <f>Money!B19</f>
        <v>Carsten D</v>
      </c>
      <c r="H19" s="271">
        <f>Money!C19</f>
        <v>6700000</v>
      </c>
      <c r="I19" s="56"/>
      <c r="J19" s="273">
        <v>17</v>
      </c>
      <c r="K19" s="310" t="str">
        <f>Putts!B19</f>
        <v>Henning B</v>
      </c>
      <c r="L19" s="316">
        <f>Putts!C19</f>
        <v>36.055555555555557</v>
      </c>
      <c r="M19" s="56"/>
      <c r="N19" s="274"/>
      <c r="O19" s="275"/>
      <c r="P19" s="276"/>
    </row>
    <row r="20" spans="2:17" ht="18" customHeight="1" x14ac:dyDescent="0.15">
      <c r="B20" s="272">
        <v>18</v>
      </c>
      <c r="C20" s="267" t="str">
        <f>Point!B20</f>
        <v>Claus J</v>
      </c>
      <c r="D20" s="268">
        <f>Point!C20</f>
        <v>34</v>
      </c>
      <c r="E20" s="56"/>
      <c r="F20" s="273">
        <v>18</v>
      </c>
      <c r="G20" s="270" t="str">
        <f>Money!B20</f>
        <v>Henning B</v>
      </c>
      <c r="H20" s="271">
        <f>Money!C20</f>
        <v>6550000</v>
      </c>
      <c r="I20" s="56"/>
      <c r="J20" s="273">
        <v>18</v>
      </c>
      <c r="K20" s="314" t="str">
        <f>Putts!B20</f>
        <v>Martin A</v>
      </c>
      <c r="L20" s="315">
        <f>Putts!C20</f>
        <v>36.111111111111114</v>
      </c>
      <c r="M20" s="56"/>
      <c r="N20" s="274"/>
      <c r="O20" s="275"/>
      <c r="P20" s="276"/>
    </row>
    <row r="21" spans="2:17" ht="18" customHeight="1" x14ac:dyDescent="0.15">
      <c r="B21" s="272">
        <v>19</v>
      </c>
      <c r="C21" s="267" t="str">
        <f>Point!B21</f>
        <v>Ole M</v>
      </c>
      <c r="D21" s="268">
        <f>Point!C21</f>
        <v>29</v>
      </c>
      <c r="E21" s="56"/>
      <c r="F21" s="273">
        <v>19</v>
      </c>
      <c r="G21" s="270" t="str">
        <f>Money!B21</f>
        <v>Ole M</v>
      </c>
      <c r="H21" s="271">
        <f>Money!C21</f>
        <v>5800000</v>
      </c>
      <c r="I21" s="56"/>
      <c r="J21" s="273">
        <v>19</v>
      </c>
      <c r="K21" s="310" t="str">
        <f>Putts!B21</f>
        <v>Kristian D</v>
      </c>
      <c r="L21" s="316">
        <f>Putts!C21</f>
        <v>36.611111111111114</v>
      </c>
      <c r="M21" s="56"/>
      <c r="N21" s="157"/>
      <c r="O21" s="157"/>
      <c r="P21" s="157"/>
    </row>
    <row r="22" spans="2:17" ht="18" customHeight="1" x14ac:dyDescent="0.15">
      <c r="B22" s="272">
        <v>20</v>
      </c>
      <c r="C22" s="267" t="str">
        <f>Point!B22</f>
        <v>Henning V</v>
      </c>
      <c r="D22" s="268">
        <f>Point!C22</f>
        <v>27</v>
      </c>
      <c r="E22" s="56"/>
      <c r="F22" s="273">
        <v>20</v>
      </c>
      <c r="G22" s="270" t="str">
        <f>Money!B22</f>
        <v>Claus J</v>
      </c>
      <c r="H22" s="271">
        <f>Money!C22</f>
        <v>5790000</v>
      </c>
      <c r="I22" s="56"/>
      <c r="J22" s="273">
        <v>20</v>
      </c>
      <c r="K22" s="314" t="str">
        <f>Putts!B22</f>
        <v>Finn EC</v>
      </c>
      <c r="L22" s="315">
        <f>Putts!C22</f>
        <v>36.833333333333336</v>
      </c>
      <c r="M22" s="56"/>
      <c r="N22" s="279"/>
      <c r="O22" s="280"/>
      <c r="P22" s="281"/>
    </row>
    <row r="23" spans="2:17" ht="18" customHeight="1" x14ac:dyDescent="0.15">
      <c r="B23" s="272">
        <v>21</v>
      </c>
      <c r="C23" s="267" t="str">
        <f>Point!B23</f>
        <v>Hans MV</v>
      </c>
      <c r="D23" s="268">
        <f>Point!C23</f>
        <v>26</v>
      </c>
      <c r="E23" s="56"/>
      <c r="F23" s="273">
        <v>21</v>
      </c>
      <c r="G23" s="270" t="str">
        <f>Money!B23</f>
        <v>Henning V</v>
      </c>
      <c r="H23" s="271">
        <f>Money!C23</f>
        <v>5030000</v>
      </c>
      <c r="I23" s="56"/>
      <c r="J23" s="273">
        <v>21</v>
      </c>
      <c r="K23" s="310" t="str">
        <f>Putts!B23</f>
        <v>Bo H</v>
      </c>
      <c r="L23" s="316">
        <f>Putts!C23</f>
        <v>36.888888888888886</v>
      </c>
      <c r="M23" s="56"/>
      <c r="N23" s="279"/>
      <c r="O23" s="280"/>
      <c r="P23" s="281"/>
    </row>
    <row r="24" spans="2:17" ht="18" customHeight="1" x14ac:dyDescent="0.15">
      <c r="B24" s="272">
        <v>22</v>
      </c>
      <c r="C24" s="267" t="str">
        <f>Point!B24</f>
        <v>Torben J</v>
      </c>
      <c r="D24" s="268">
        <f>Point!C24</f>
        <v>19</v>
      </c>
      <c r="E24" s="56"/>
      <c r="F24" s="273">
        <v>22</v>
      </c>
      <c r="G24" s="270" t="str">
        <f>Money!B24</f>
        <v>Torben J</v>
      </c>
      <c r="H24" s="271">
        <f>Money!C24</f>
        <v>4380000</v>
      </c>
      <c r="I24" s="56"/>
      <c r="J24" s="273">
        <v>22</v>
      </c>
      <c r="K24" s="314" t="str">
        <f>Putts!B24</f>
        <v>Claus J</v>
      </c>
      <c r="L24" s="315">
        <f>Putts!C24</f>
        <v>36.944444444444443</v>
      </c>
      <c r="M24" s="56"/>
      <c r="N24" s="279"/>
      <c r="O24" s="280"/>
      <c r="P24" s="281"/>
    </row>
    <row r="25" spans="2:17" ht="18" customHeight="1" x14ac:dyDescent="0.15">
      <c r="B25" s="272">
        <v>23</v>
      </c>
      <c r="C25" s="267" t="str">
        <f>Point!B25</f>
        <v>Kristian D</v>
      </c>
      <c r="D25" s="268">
        <f>Point!C25</f>
        <v>5</v>
      </c>
      <c r="E25" s="56"/>
      <c r="F25" s="273">
        <v>23</v>
      </c>
      <c r="G25" s="270" t="str">
        <f>Money!B25</f>
        <v>Kristian D</v>
      </c>
      <c r="H25" s="271">
        <f>Money!C25</f>
        <v>1740000</v>
      </c>
      <c r="I25" s="56"/>
      <c r="J25" s="273">
        <v>23</v>
      </c>
      <c r="K25" s="310" t="str">
        <f>Putts!B25</f>
        <v>Thorkild J</v>
      </c>
      <c r="L25" s="316">
        <f>Putts!C25</f>
        <v>37.722222222222221</v>
      </c>
      <c r="M25" s="56"/>
      <c r="N25" s="279"/>
      <c r="O25" s="280"/>
      <c r="P25" s="281"/>
    </row>
    <row r="26" spans="2:17" ht="18" customHeight="1" x14ac:dyDescent="0.15">
      <c r="B26" s="272">
        <v>24</v>
      </c>
      <c r="C26" s="267" t="str">
        <f>Point!B26</f>
        <v>Thorkild J</v>
      </c>
      <c r="D26" s="268">
        <f>Point!C26</f>
        <v>5</v>
      </c>
      <c r="E26" s="56"/>
      <c r="F26" s="273">
        <v>24</v>
      </c>
      <c r="G26" s="270" t="str">
        <f>Money!B26</f>
        <v>Thorkild J</v>
      </c>
      <c r="H26" s="271">
        <f>Money!C26</f>
        <v>770000</v>
      </c>
      <c r="I26" s="56"/>
      <c r="J26" s="273">
        <v>24</v>
      </c>
      <c r="K26" s="314" t="str">
        <f>Putts!B26</f>
        <v>Henning V</v>
      </c>
      <c r="L26" s="315">
        <f>Putts!C26</f>
        <v>38.888888888888886</v>
      </c>
      <c r="M26" s="56"/>
      <c r="N26" s="279"/>
      <c r="O26" s="280"/>
      <c r="P26" s="281"/>
    </row>
    <row r="27" spans="2:17" s="9" customFormat="1" ht="18" customHeight="1" x14ac:dyDescent="0.15">
      <c r="B27" s="272">
        <v>25</v>
      </c>
      <c r="C27" s="267" t="str">
        <f>Point!B27</f>
        <v>Finn EC</v>
      </c>
      <c r="D27" s="268">
        <f>Point!C27</f>
        <v>1</v>
      </c>
      <c r="E27" s="56"/>
      <c r="F27" s="273">
        <v>25</v>
      </c>
      <c r="G27" s="270" t="str">
        <f>Money!B27</f>
        <v>Finn EC</v>
      </c>
      <c r="H27" s="271">
        <f>Money!C27</f>
        <v>740000</v>
      </c>
      <c r="I27" s="56"/>
      <c r="J27" s="273">
        <v>25</v>
      </c>
      <c r="K27" s="310" t="str">
        <f>Putts!B27</f>
        <v>Per N</v>
      </c>
      <c r="L27" s="316">
        <f>Putts!C27</f>
        <v>39.055555555555557</v>
      </c>
      <c r="M27" s="56"/>
      <c r="N27" s="279"/>
      <c r="O27" s="280"/>
      <c r="P27" s="281"/>
      <c r="Q27" s="1"/>
    </row>
    <row r="28" spans="2:17" ht="18" customHeight="1" x14ac:dyDescent="0.15">
      <c r="C28" s="1"/>
    </row>
    <row r="29" spans="2:17" x14ac:dyDescent="0.15">
      <c r="B29" s="431" t="s">
        <v>5</v>
      </c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3"/>
    </row>
    <row r="30" spans="2:17" x14ac:dyDescent="0.15">
      <c r="B30" s="434" t="s">
        <v>146</v>
      </c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6"/>
    </row>
    <row r="31" spans="2:17" x14ac:dyDescent="0.15">
      <c r="B31" s="437" t="s">
        <v>155</v>
      </c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9"/>
    </row>
  </sheetData>
  <sheetProtection selectLockedCells="1" selectUnlockedCells="1"/>
  <mergeCells count="9">
    <mergeCell ref="B29:P29"/>
    <mergeCell ref="B30:P30"/>
    <mergeCell ref="B31:P31"/>
    <mergeCell ref="B1:P1"/>
    <mergeCell ref="B2:D2"/>
    <mergeCell ref="F2:H2"/>
    <mergeCell ref="J2:L2"/>
    <mergeCell ref="N2:P2"/>
    <mergeCell ref="N14:P14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87" firstPageNumber="0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pageSetUpPr fitToPage="1"/>
  </sheetPr>
  <dimension ref="A1:Q29"/>
  <sheetViews>
    <sheetView workbookViewId="0">
      <selection sqref="A1:N29"/>
    </sheetView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10.5" style="8" customWidth="1"/>
    <col min="18" max="16384" width="9.1640625" style="8"/>
  </cols>
  <sheetData>
    <row r="1" spans="1:17" s="56" customFormat="1" ht="43.5" customHeight="1" x14ac:dyDescent="0.15">
      <c r="B1" s="440" t="s">
        <v>159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301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09" t="s">
        <v>97</v>
      </c>
      <c r="Q2" s="109" t="s">
        <v>98</v>
      </c>
    </row>
    <row r="3" spans="1:17" s="69" customFormat="1" ht="27" customHeight="1" x14ac:dyDescent="0.15">
      <c r="A3" s="344" t="s">
        <v>77</v>
      </c>
      <c r="B3" s="294" t="s">
        <v>78</v>
      </c>
      <c r="C3" s="294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10">
        <v>16</v>
      </c>
      <c r="Q3" s="57" t="s">
        <v>76</v>
      </c>
    </row>
    <row r="4" spans="1:17" s="80" customFormat="1" ht="18" customHeight="1" x14ac:dyDescent="0.15">
      <c r="A4" s="362" t="s">
        <v>42</v>
      </c>
      <c r="B4" s="237">
        <v>17.5</v>
      </c>
      <c r="C4" s="345">
        <v>41</v>
      </c>
      <c r="D4" s="292">
        <v>27</v>
      </c>
      <c r="E4" s="73"/>
      <c r="F4" s="71">
        <v>1</v>
      </c>
      <c r="G4" s="71">
        <v>10</v>
      </c>
      <c r="H4" s="74">
        <f t="shared" ref="H4:H11" si="0">N4+I4</f>
        <v>1800000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1750000</v>
      </c>
      <c r="P4" s="70">
        <v>16</v>
      </c>
      <c r="Q4" s="57">
        <f>ROUND(P4*18/P3,0)</f>
        <v>18</v>
      </c>
    </row>
    <row r="5" spans="1:17" s="80" customFormat="1" ht="18" customHeight="1" x14ac:dyDescent="0.15">
      <c r="A5" s="362" t="s">
        <v>30</v>
      </c>
      <c r="B5" s="237">
        <v>11.4</v>
      </c>
      <c r="C5" s="345">
        <v>38</v>
      </c>
      <c r="D5" s="292">
        <v>26</v>
      </c>
      <c r="E5" s="73"/>
      <c r="F5" s="71">
        <v>2</v>
      </c>
      <c r="G5" s="71">
        <v>8</v>
      </c>
      <c r="H5" s="74">
        <f t="shared" si="0"/>
        <v>1450000</v>
      </c>
      <c r="I5" s="75">
        <f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1400000</v>
      </c>
      <c r="P5" s="70">
        <v>17</v>
      </c>
      <c r="Q5" s="57">
        <f>ROUND(P5*18/P3,0)</f>
        <v>19</v>
      </c>
    </row>
    <row r="6" spans="1:17" s="80" customFormat="1" ht="18" customHeight="1" x14ac:dyDescent="0.15">
      <c r="A6" s="362" t="s">
        <v>32</v>
      </c>
      <c r="B6" s="237">
        <v>14</v>
      </c>
      <c r="C6" s="345">
        <v>35</v>
      </c>
      <c r="D6" s="293">
        <v>26</v>
      </c>
      <c r="E6" s="87"/>
      <c r="F6" s="12">
        <v>3</v>
      </c>
      <c r="G6" s="12">
        <v>6</v>
      </c>
      <c r="H6" s="74">
        <f t="shared" si="0"/>
        <v>1100000</v>
      </c>
      <c r="I6" s="75">
        <f>IF(E6&gt;0,$N$13,0)+IF(C6&gt;0,50000,0)+IF(C14&lt;0,50000,0)</f>
        <v>50000</v>
      </c>
      <c r="J6" s="81" t="s">
        <v>88</v>
      </c>
      <c r="K6" s="82"/>
      <c r="L6" s="83"/>
      <c r="M6" s="84">
        <v>6</v>
      </c>
      <c r="N6" s="74">
        <f>N12*15%</f>
        <v>1050000</v>
      </c>
      <c r="P6" s="70">
        <v>18</v>
      </c>
      <c r="Q6" s="57">
        <f>ROUND(P6*18/P3,0)</f>
        <v>20</v>
      </c>
    </row>
    <row r="7" spans="1:17" s="80" customFormat="1" ht="18" customHeight="1" x14ac:dyDescent="0.15">
      <c r="A7" s="362" t="s">
        <v>28</v>
      </c>
      <c r="B7" s="237">
        <v>11.8</v>
      </c>
      <c r="C7" s="345">
        <v>34</v>
      </c>
      <c r="D7" s="292">
        <v>27</v>
      </c>
      <c r="E7" s="87"/>
      <c r="F7" s="71">
        <v>4</v>
      </c>
      <c r="G7" s="71">
        <v>5</v>
      </c>
      <c r="H7" s="74">
        <f t="shared" si="0"/>
        <v>890000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840000</v>
      </c>
      <c r="O7" s="85"/>
      <c r="P7" s="70">
        <v>19</v>
      </c>
      <c r="Q7" s="57">
        <f>ROUND(P7*18/P3,0)</f>
        <v>21</v>
      </c>
    </row>
    <row r="8" spans="1:17" s="80" customFormat="1" ht="18" customHeight="1" x14ac:dyDescent="0.15">
      <c r="A8" s="362" t="s">
        <v>48</v>
      </c>
      <c r="B8" s="237">
        <v>9.6999999999999993</v>
      </c>
      <c r="C8" s="345">
        <v>33</v>
      </c>
      <c r="D8" s="292">
        <v>29</v>
      </c>
      <c r="E8" s="73"/>
      <c r="F8" s="71">
        <v>5</v>
      </c>
      <c r="G8" s="71">
        <v>4</v>
      </c>
      <c r="H8" s="74">
        <f t="shared" si="0"/>
        <v>750000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700000</v>
      </c>
      <c r="P8" s="70">
        <v>20</v>
      </c>
      <c r="Q8" s="57">
        <f>ROUND(P8*18/P3,0)</f>
        <v>23</v>
      </c>
    </row>
    <row r="9" spans="1:17" s="80" customFormat="1" ht="18" customHeight="1" x14ac:dyDescent="0.15">
      <c r="A9" s="362" t="s">
        <v>147</v>
      </c>
      <c r="B9" s="237">
        <v>11.3</v>
      </c>
      <c r="C9" s="345">
        <v>33</v>
      </c>
      <c r="D9" s="292">
        <v>29</v>
      </c>
      <c r="E9" s="87">
        <v>5.22</v>
      </c>
      <c r="F9" s="88">
        <v>6</v>
      </c>
      <c r="G9" s="88">
        <v>3</v>
      </c>
      <c r="H9" s="74">
        <f t="shared" si="0"/>
        <v>1030000</v>
      </c>
      <c r="I9" s="75">
        <f t="shared" si="1"/>
        <v>470000</v>
      </c>
      <c r="J9" s="81" t="s">
        <v>91</v>
      </c>
      <c r="K9" s="82"/>
      <c r="L9" s="83"/>
      <c r="M9" s="84">
        <v>3</v>
      </c>
      <c r="N9" s="74">
        <f>N12*8%</f>
        <v>560000</v>
      </c>
      <c r="P9" s="70">
        <v>21</v>
      </c>
      <c r="Q9" s="57">
        <f>ROUND(P9*18/P3,0)</f>
        <v>24</v>
      </c>
    </row>
    <row r="10" spans="1:17" s="80" customFormat="1" ht="18" customHeight="1" x14ac:dyDescent="0.15">
      <c r="A10" s="362" t="s">
        <v>38</v>
      </c>
      <c r="B10" s="237">
        <v>15.4</v>
      </c>
      <c r="C10" s="345">
        <v>32</v>
      </c>
      <c r="D10" s="292">
        <v>32</v>
      </c>
      <c r="E10" s="73"/>
      <c r="F10" s="71">
        <v>7</v>
      </c>
      <c r="G10" s="71">
        <v>2</v>
      </c>
      <c r="H10" s="74">
        <f t="shared" si="0"/>
        <v>470000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420000</v>
      </c>
      <c r="P10" s="70">
        <v>22</v>
      </c>
      <c r="Q10" s="57">
        <f>ROUND(P10*18/P3,0)</f>
        <v>25</v>
      </c>
    </row>
    <row r="11" spans="1:17" s="80" customFormat="1" ht="18" customHeight="1" x14ac:dyDescent="0.15">
      <c r="A11" s="362" t="s">
        <v>34</v>
      </c>
      <c r="B11" s="237">
        <v>12.8</v>
      </c>
      <c r="C11" s="345">
        <v>29</v>
      </c>
      <c r="D11" s="292">
        <v>36</v>
      </c>
      <c r="E11" s="87"/>
      <c r="F11" s="71">
        <v>8</v>
      </c>
      <c r="G11" s="71">
        <v>1</v>
      </c>
      <c r="H11" s="74">
        <f t="shared" si="0"/>
        <v>330000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280000</v>
      </c>
      <c r="P11" s="70">
        <v>23</v>
      </c>
      <c r="Q11" s="57">
        <f>ROUND(P11*18/P3,0)</f>
        <v>26</v>
      </c>
    </row>
    <row r="12" spans="1:17" s="80" customFormat="1" ht="18" customHeight="1" x14ac:dyDescent="0.15">
      <c r="A12" s="362" t="s">
        <v>8</v>
      </c>
      <c r="B12" s="237">
        <v>21.5</v>
      </c>
      <c r="C12" s="345">
        <v>29</v>
      </c>
      <c r="D12" s="292">
        <v>30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7000000</v>
      </c>
      <c r="P12" s="70">
        <v>24</v>
      </c>
      <c r="Q12" s="57">
        <f>ROUND(P12*18/P3,0)</f>
        <v>27</v>
      </c>
    </row>
    <row r="13" spans="1:17" s="80" customFormat="1" ht="18" customHeight="1" x14ac:dyDescent="0.15">
      <c r="A13" s="362" t="s">
        <v>20</v>
      </c>
      <c r="B13" s="237">
        <v>18.100000000000001</v>
      </c>
      <c r="C13" s="345">
        <v>26</v>
      </c>
      <c r="D13" s="292">
        <v>34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420000</v>
      </c>
      <c r="P13" s="70">
        <v>25</v>
      </c>
      <c r="Q13" s="57">
        <f>ROUND(P13*18/P3,0)</f>
        <v>28</v>
      </c>
    </row>
    <row r="14" spans="1:17" s="80" customFormat="1" ht="18" customHeight="1" x14ac:dyDescent="0.15">
      <c r="A14" s="362" t="s">
        <v>10</v>
      </c>
      <c r="B14" s="237">
        <v>14.3</v>
      </c>
      <c r="C14" s="345">
        <v>24</v>
      </c>
      <c r="D14" s="292">
        <v>37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  <c r="P14" s="70">
        <v>26</v>
      </c>
      <c r="Q14" s="57">
        <f>ROUND(P14*18/P3,0)</f>
        <v>29</v>
      </c>
    </row>
    <row r="15" spans="1:17" s="80" customFormat="1" ht="18" customHeight="1" x14ac:dyDescent="0.15">
      <c r="A15" s="362" t="s">
        <v>16</v>
      </c>
      <c r="B15" s="237">
        <v>19.8</v>
      </c>
      <c r="C15" s="345">
        <v>24</v>
      </c>
      <c r="D15" s="292">
        <v>41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  <c r="P15" s="70">
        <v>27</v>
      </c>
      <c r="Q15" s="57">
        <f>ROUND(P15*18/P3,0)</f>
        <v>30</v>
      </c>
    </row>
    <row r="16" spans="1:17" s="80" customFormat="1" ht="18" customHeight="1" x14ac:dyDescent="0.15">
      <c r="A16" s="362" t="s">
        <v>18</v>
      </c>
      <c r="B16" s="237">
        <v>13.9</v>
      </c>
      <c r="C16" s="345">
        <v>22</v>
      </c>
      <c r="D16" s="292">
        <v>35</v>
      </c>
      <c r="E16" s="73"/>
      <c r="F16" s="12"/>
      <c r="G16" s="12"/>
      <c r="H16" s="74">
        <f t="shared" si="2"/>
        <v>50000</v>
      </c>
      <c r="I16" s="75">
        <f t="shared" si="3"/>
        <v>50000</v>
      </c>
      <c r="P16" s="70">
        <v>28</v>
      </c>
      <c r="Q16" s="57">
        <f>ROUND(P16*18/P3,0)</f>
        <v>32</v>
      </c>
    </row>
    <row r="17" spans="1:17" s="80" customFormat="1" ht="18" customHeight="1" x14ac:dyDescent="0.15">
      <c r="A17" s="362" t="s">
        <v>40</v>
      </c>
      <c r="B17" s="237">
        <v>22.8</v>
      </c>
      <c r="C17" s="345">
        <v>22</v>
      </c>
      <c r="D17" s="292">
        <v>39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70">
        <v>29</v>
      </c>
      <c r="Q17" s="57">
        <f>ROUND(P17*18/P3,0)</f>
        <v>33</v>
      </c>
    </row>
    <row r="18" spans="1:17" s="80" customFormat="1" ht="18" customHeight="1" x14ac:dyDescent="0.15">
      <c r="A18" s="362" t="s">
        <v>26</v>
      </c>
      <c r="B18" s="237">
        <v>24.4</v>
      </c>
      <c r="C18" s="345">
        <v>22</v>
      </c>
      <c r="D18" s="292">
        <v>39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"/>
      <c r="K18" s="8"/>
      <c r="L18" s="8"/>
      <c r="M18" s="8"/>
      <c r="N18" s="8"/>
      <c r="O18" s="86"/>
      <c r="P18" s="70">
        <v>30</v>
      </c>
      <c r="Q18" s="57">
        <f>ROUND(P18*18/P3,0)</f>
        <v>34</v>
      </c>
    </row>
    <row r="19" spans="1:17" s="80" customFormat="1" ht="18" customHeight="1" x14ac:dyDescent="0.15">
      <c r="A19" s="362"/>
      <c r="B19" s="237"/>
      <c r="C19" s="345"/>
      <c r="D19" s="292"/>
      <c r="E19" s="73"/>
      <c r="F19" s="71"/>
      <c r="G19" s="71"/>
      <c r="H19" s="74">
        <f t="shared" si="2"/>
        <v>0</v>
      </c>
      <c r="I19" s="75">
        <f t="shared" si="3"/>
        <v>0</v>
      </c>
      <c r="J19" s="8"/>
      <c r="K19" s="8"/>
      <c r="L19" s="8"/>
      <c r="M19" s="8"/>
      <c r="N19" s="8"/>
      <c r="O19" s="86"/>
      <c r="P19" s="70">
        <v>31</v>
      </c>
      <c r="Q19" s="57">
        <f>ROUND(P19*18/P3,0)</f>
        <v>35</v>
      </c>
    </row>
    <row r="20" spans="1:17" s="56" customFormat="1" ht="18" customHeight="1" x14ac:dyDescent="0.15">
      <c r="A20" s="362"/>
      <c r="B20" s="237"/>
      <c r="C20" s="345"/>
      <c r="D20" s="292"/>
      <c r="E20" s="73"/>
      <c r="F20" s="12"/>
      <c r="G20" s="12"/>
      <c r="H20" s="74">
        <f t="shared" si="2"/>
        <v>0</v>
      </c>
      <c r="I20" s="75">
        <f t="shared" si="3"/>
        <v>0</v>
      </c>
      <c r="J20" s="8"/>
      <c r="K20" s="8"/>
      <c r="L20" s="8"/>
      <c r="M20" s="8"/>
      <c r="N20" s="8"/>
      <c r="P20" s="70">
        <v>32</v>
      </c>
      <c r="Q20" s="57">
        <f>ROUND(P20*18/P3,0)</f>
        <v>36</v>
      </c>
    </row>
    <row r="21" spans="1:17" s="56" customFormat="1" ht="18" customHeight="1" x14ac:dyDescent="0.15">
      <c r="A21" s="362"/>
      <c r="B21" s="237"/>
      <c r="C21" s="247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8"/>
      <c r="K21" s="8"/>
      <c r="L21" s="8"/>
      <c r="M21" s="8"/>
      <c r="N21" s="8"/>
      <c r="P21" s="70">
        <v>33</v>
      </c>
      <c r="Q21" s="57">
        <f>ROUND(P21*18/P3,0)</f>
        <v>37</v>
      </c>
    </row>
    <row r="22" spans="1:17" s="56" customFormat="1" ht="18" customHeight="1" x14ac:dyDescent="0.15">
      <c r="A22" s="362"/>
      <c r="B22" s="237"/>
      <c r="C22" s="71"/>
      <c r="D22" s="72"/>
      <c r="E22" s="87"/>
      <c r="F22" s="12"/>
      <c r="G22" s="12"/>
      <c r="H22" s="74">
        <f t="shared" si="2"/>
        <v>0</v>
      </c>
      <c r="I22" s="75">
        <f t="shared" si="3"/>
        <v>0</v>
      </c>
      <c r="J22" s="8"/>
      <c r="K22" s="8"/>
      <c r="L22" s="8"/>
      <c r="M22" s="8"/>
      <c r="N22" s="8"/>
      <c r="P22" s="70">
        <v>34</v>
      </c>
      <c r="Q22" s="57">
        <f>ROUND(P22*18/P3,0)</f>
        <v>38</v>
      </c>
    </row>
    <row r="23" spans="1:17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8"/>
      <c r="K23" s="8"/>
      <c r="L23" s="8"/>
      <c r="M23" s="8"/>
      <c r="N23" s="8"/>
      <c r="P23" s="70">
        <v>35</v>
      </c>
      <c r="Q23" s="57">
        <f>ROUND(P23*18/P3,0)</f>
        <v>39</v>
      </c>
    </row>
    <row r="24" spans="1:17" s="56" customFormat="1" ht="18" customHeight="1" x14ac:dyDescent="0.15">
      <c r="A24" s="362"/>
      <c r="B24" s="237"/>
      <c r="C24" s="71"/>
      <c r="D24" s="104" t="s">
        <v>96</v>
      </c>
      <c r="E24" s="87"/>
      <c r="F24" s="12"/>
      <c r="G24" s="12"/>
      <c r="H24" s="74">
        <f t="shared" si="2"/>
        <v>0</v>
      </c>
      <c r="I24" s="75">
        <f>IF(E24&gt;0,$N$13,0)+IF(C24&gt;0,50000,0)+IF(C24&lt;0,50000,0)</f>
        <v>0</v>
      </c>
      <c r="J24" s="8"/>
      <c r="K24" s="8"/>
      <c r="L24" s="8"/>
      <c r="M24" s="8"/>
      <c r="N24" s="8"/>
      <c r="P24" s="70">
        <v>36</v>
      </c>
      <c r="Q24" s="57">
        <f>ROUND(P24*18/P3,0)</f>
        <v>41</v>
      </c>
    </row>
    <row r="25" spans="1:17" s="56" customFormat="1" ht="18" customHeight="1" x14ac:dyDescent="0.15">
      <c r="A25" s="362"/>
      <c r="B25" s="237"/>
      <c r="C25" s="72"/>
      <c r="D25" s="72"/>
      <c r="E25" s="87"/>
      <c r="F25" s="12"/>
      <c r="G25" s="12"/>
      <c r="H25" s="74">
        <f t="shared" si="2"/>
        <v>0</v>
      </c>
      <c r="I25" s="75">
        <f t="shared" si="3"/>
        <v>0</v>
      </c>
      <c r="J25" s="8"/>
      <c r="K25" s="8"/>
      <c r="L25" s="8"/>
      <c r="M25" s="8"/>
      <c r="N25" s="8"/>
      <c r="P25" s="70">
        <v>37</v>
      </c>
      <c r="Q25" s="57">
        <f>ROUND(P25*18/P3,0)</f>
        <v>42</v>
      </c>
    </row>
    <row r="26" spans="1:17" s="56" customFormat="1" ht="18" customHeight="1" x14ac:dyDescent="0.15">
      <c r="A26" s="362"/>
      <c r="B26" s="237"/>
      <c r="C26" s="72"/>
      <c r="D26" s="72"/>
      <c r="E26" s="87"/>
      <c r="F26" s="12"/>
      <c r="G26" s="12"/>
      <c r="H26" s="74">
        <f t="shared" si="2"/>
        <v>0</v>
      </c>
      <c r="I26" s="75">
        <f t="shared" si="3"/>
        <v>0</v>
      </c>
      <c r="J26" s="8"/>
      <c r="K26" s="8"/>
      <c r="L26" s="8"/>
      <c r="M26" s="8"/>
      <c r="N26" s="8"/>
      <c r="P26" s="70">
        <v>38</v>
      </c>
      <c r="Q26" s="57">
        <f>ROUND(P26*18/P3,0)</f>
        <v>43</v>
      </c>
    </row>
    <row r="27" spans="1:17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  <c r="J27" s="8"/>
      <c r="K27" s="8"/>
      <c r="L27" s="8"/>
      <c r="M27" s="8"/>
      <c r="N27" s="8"/>
      <c r="P27" s="70">
        <v>39</v>
      </c>
      <c r="Q27" s="57">
        <f>ROUND(P27*18/P3,0)</f>
        <v>44</v>
      </c>
    </row>
    <row r="28" spans="1:17" ht="24" customHeight="1" x14ac:dyDescent="0.15">
      <c r="A28" s="362"/>
      <c r="B28" s="237"/>
      <c r="C28" s="71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  <c r="P28" s="70">
        <v>40</v>
      </c>
      <c r="Q28" s="57">
        <f>ROUND(P28*18/P3,0)</f>
        <v>45</v>
      </c>
    </row>
    <row r="29" spans="1:17" ht="16" x14ac:dyDescent="0.15">
      <c r="A29" s="1"/>
      <c r="B29" s="3"/>
      <c r="C29" s="105"/>
      <c r="D29" s="106">
        <f>SUM(D4:D28)</f>
        <v>487</v>
      </c>
      <c r="E29" s="105"/>
      <c r="F29" s="3"/>
      <c r="G29" s="107">
        <f>SUM(G4:G28)</f>
        <v>39</v>
      </c>
      <c r="H29" s="107">
        <f>SUM(H4:H28)</f>
        <v>8170000</v>
      </c>
      <c r="I29" s="108"/>
      <c r="P29" s="70">
        <v>41</v>
      </c>
      <c r="Q29" s="57">
        <f>ROUND(P29*18/P3,0)</f>
        <v>46</v>
      </c>
    </row>
  </sheetData>
  <sheetProtection selectLockedCells="1" selectUnlockedCells="1"/>
  <sortState ref="A4:E18">
    <sortCondition descending="1" ref="C4:C18"/>
    <sortCondition ref="B4:B18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78" firstPageNumber="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E86-9420-A041-9DCF-704C93CCC78F}">
  <sheetPr>
    <pageSetUpPr fitToPage="1"/>
  </sheetPr>
  <dimension ref="A1:Q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10.5" style="8" customWidth="1"/>
    <col min="18" max="16384" width="9.1640625" style="8"/>
  </cols>
  <sheetData>
    <row r="1" spans="1:17" s="56" customFormat="1" ht="43.5" customHeight="1" x14ac:dyDescent="0.15">
      <c r="B1" s="440" t="s">
        <v>211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299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09" t="s">
        <v>97</v>
      </c>
      <c r="Q2" s="109" t="s">
        <v>98</v>
      </c>
    </row>
    <row r="3" spans="1:17" s="69" customFormat="1" ht="27" customHeight="1" x14ac:dyDescent="0.15">
      <c r="A3" s="344" t="s">
        <v>77</v>
      </c>
      <c r="B3" s="294" t="s">
        <v>78</v>
      </c>
      <c r="C3" s="294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10">
        <v>16</v>
      </c>
      <c r="Q3" s="57" t="s">
        <v>76</v>
      </c>
    </row>
    <row r="4" spans="1:17" s="80" customFormat="1" ht="18" customHeight="1" x14ac:dyDescent="0.15">
      <c r="A4" s="362" t="s">
        <v>48</v>
      </c>
      <c r="B4" s="237">
        <v>9.6999999999999993</v>
      </c>
      <c r="C4" s="345">
        <v>33</v>
      </c>
      <c r="D4" s="292">
        <v>34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  <c r="P4" s="70">
        <v>16</v>
      </c>
      <c r="Q4" s="57">
        <f>ROUND(P4*18/P3,0)</f>
        <v>18</v>
      </c>
    </row>
    <row r="5" spans="1:17" s="80" customFormat="1" ht="18" customHeight="1" x14ac:dyDescent="0.15">
      <c r="A5" s="362" t="s">
        <v>42</v>
      </c>
      <c r="B5" s="237">
        <v>17.5</v>
      </c>
      <c r="C5" s="345">
        <v>27</v>
      </c>
      <c r="D5" s="292">
        <v>42</v>
      </c>
      <c r="E5" s="73"/>
      <c r="F5" s="71">
        <v>2</v>
      </c>
      <c r="G5" s="71">
        <v>8</v>
      </c>
      <c r="H5" s="74">
        <f t="shared" si="0"/>
        <v>1250000</v>
      </c>
      <c r="I5" s="75">
        <f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  <c r="P5" s="70">
        <v>17</v>
      </c>
      <c r="Q5" s="57">
        <f>ROUND(P5*18/P3,0)</f>
        <v>19</v>
      </c>
    </row>
    <row r="6" spans="1:17" s="80" customFormat="1" ht="18" customHeight="1" x14ac:dyDescent="0.15">
      <c r="A6" s="362" t="s">
        <v>40</v>
      </c>
      <c r="B6" s="237">
        <v>22.8</v>
      </c>
      <c r="C6" s="345">
        <v>27</v>
      </c>
      <c r="D6" s="293">
        <v>36</v>
      </c>
      <c r="E6" s="87"/>
      <c r="F6" s="12">
        <v>3</v>
      </c>
      <c r="G6" s="12">
        <v>6</v>
      </c>
      <c r="H6" s="74">
        <f t="shared" si="0"/>
        <v>950000</v>
      </c>
      <c r="I6" s="75">
        <f>IF(E6&gt;0,$N$13,0)+IF(C6&gt;0,50000,0)+IF(C14&lt;0,50000,0)</f>
        <v>50000</v>
      </c>
      <c r="J6" s="81" t="s">
        <v>88</v>
      </c>
      <c r="K6" s="82"/>
      <c r="L6" s="83"/>
      <c r="M6" s="84">
        <v>6</v>
      </c>
      <c r="N6" s="74">
        <f>N12*15%</f>
        <v>900000</v>
      </c>
      <c r="P6" s="70">
        <v>18</v>
      </c>
      <c r="Q6" s="57">
        <f>ROUND(P6*18/P3,0)</f>
        <v>20</v>
      </c>
    </row>
    <row r="7" spans="1:17" s="80" customFormat="1" ht="18" customHeight="1" x14ac:dyDescent="0.15">
      <c r="A7" s="362" t="s">
        <v>18</v>
      </c>
      <c r="B7" s="237">
        <v>13.9</v>
      </c>
      <c r="C7" s="345">
        <v>26</v>
      </c>
      <c r="D7" s="292">
        <v>30</v>
      </c>
      <c r="E7" s="87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70">
        <v>19</v>
      </c>
      <c r="Q7" s="57">
        <f>ROUND(P7*18/P3,0)</f>
        <v>21</v>
      </c>
    </row>
    <row r="8" spans="1:17" s="80" customFormat="1" ht="18" customHeight="1" x14ac:dyDescent="0.15">
      <c r="A8" s="362" t="s">
        <v>44</v>
      </c>
      <c r="B8" s="237">
        <v>16.3</v>
      </c>
      <c r="C8" s="345">
        <v>26</v>
      </c>
      <c r="D8" s="292">
        <v>36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  <c r="P8" s="70">
        <v>20</v>
      </c>
      <c r="Q8" s="57">
        <f>ROUND(P8*18/P3,0)</f>
        <v>23</v>
      </c>
    </row>
    <row r="9" spans="1:17" s="80" customFormat="1" ht="18" customHeight="1" x14ac:dyDescent="0.15">
      <c r="A9" s="362" t="s">
        <v>26</v>
      </c>
      <c r="B9" s="237">
        <v>24.4</v>
      </c>
      <c r="C9" s="345">
        <v>26</v>
      </c>
      <c r="D9" s="292">
        <v>41</v>
      </c>
      <c r="E9" s="87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  <c r="P9" s="70">
        <v>21</v>
      </c>
      <c r="Q9" s="57">
        <f>ROUND(P9*18/P3,0)</f>
        <v>24</v>
      </c>
    </row>
    <row r="10" spans="1:17" s="80" customFormat="1" ht="18" customHeight="1" x14ac:dyDescent="0.15">
      <c r="A10" s="362" t="s">
        <v>38</v>
      </c>
      <c r="B10" s="237">
        <v>15.4</v>
      </c>
      <c r="C10" s="345">
        <v>25</v>
      </c>
      <c r="D10" s="292">
        <v>37</v>
      </c>
      <c r="E10" s="73">
        <v>0.72</v>
      </c>
      <c r="F10" s="71">
        <v>7</v>
      </c>
      <c r="G10" s="71">
        <v>2</v>
      </c>
      <c r="H10" s="74">
        <f t="shared" si="0"/>
        <v>770000</v>
      </c>
      <c r="I10" s="75">
        <f t="shared" si="1"/>
        <v>410000</v>
      </c>
      <c r="J10" s="81" t="s">
        <v>92</v>
      </c>
      <c r="K10" s="82"/>
      <c r="L10" s="83"/>
      <c r="M10" s="84">
        <v>2</v>
      </c>
      <c r="N10" s="74">
        <f>N12*6%</f>
        <v>360000</v>
      </c>
      <c r="P10" s="70">
        <v>22</v>
      </c>
      <c r="Q10" s="57">
        <f>ROUND(P10*18/P3,0)</f>
        <v>25</v>
      </c>
    </row>
    <row r="11" spans="1:17" s="80" customFormat="1" ht="18" customHeight="1" x14ac:dyDescent="0.15">
      <c r="A11" s="362" t="s">
        <v>46</v>
      </c>
      <c r="B11" s="237">
        <v>23.1</v>
      </c>
      <c r="C11" s="345">
        <v>25</v>
      </c>
      <c r="D11" s="292">
        <v>38</v>
      </c>
      <c r="E11" s="87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  <c r="P11" s="70">
        <v>23</v>
      </c>
      <c r="Q11" s="57">
        <f>ROUND(P11*18/P3,0)</f>
        <v>26</v>
      </c>
    </row>
    <row r="12" spans="1:17" s="80" customFormat="1" ht="18" customHeight="1" x14ac:dyDescent="0.15">
      <c r="A12" s="362" t="s">
        <v>12</v>
      </c>
      <c r="B12" s="237">
        <v>15.3</v>
      </c>
      <c r="C12" s="345">
        <v>24</v>
      </c>
      <c r="D12" s="292">
        <v>38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  <c r="P12" s="70">
        <v>24</v>
      </c>
      <c r="Q12" s="57">
        <f>ROUND(P12*18/P3,0)</f>
        <v>27</v>
      </c>
    </row>
    <row r="13" spans="1:17" s="80" customFormat="1" ht="18" customHeight="1" x14ac:dyDescent="0.15">
      <c r="A13" s="362" t="s">
        <v>16</v>
      </c>
      <c r="B13" s="237">
        <v>19.8</v>
      </c>
      <c r="C13" s="345">
        <v>23</v>
      </c>
      <c r="D13" s="292">
        <v>42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  <c r="P13" s="70">
        <v>25</v>
      </c>
      <c r="Q13" s="57">
        <f>ROUND(P13*18/P3,0)</f>
        <v>28</v>
      </c>
    </row>
    <row r="14" spans="1:17" s="80" customFormat="1" ht="18" customHeight="1" x14ac:dyDescent="0.15">
      <c r="A14" s="362" t="s">
        <v>14</v>
      </c>
      <c r="B14" s="237">
        <v>12.8</v>
      </c>
      <c r="C14" s="345">
        <v>22</v>
      </c>
      <c r="D14" s="292">
        <v>36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  <c r="P14" s="70">
        <v>26</v>
      </c>
      <c r="Q14" s="57">
        <f>ROUND(P14*18/P3,0)</f>
        <v>29</v>
      </c>
    </row>
    <row r="15" spans="1:17" s="80" customFormat="1" ht="18" customHeight="1" x14ac:dyDescent="0.15">
      <c r="A15" s="362" t="s">
        <v>28</v>
      </c>
      <c r="B15" s="237">
        <v>11.8</v>
      </c>
      <c r="C15" s="345">
        <v>21</v>
      </c>
      <c r="D15" s="292">
        <v>38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  <c r="P15" s="70">
        <v>27</v>
      </c>
      <c r="Q15" s="57">
        <f>ROUND(P15*18/P3,0)</f>
        <v>30</v>
      </c>
    </row>
    <row r="16" spans="1:17" s="80" customFormat="1" ht="18" customHeight="1" x14ac:dyDescent="0.15">
      <c r="A16" s="362" t="s">
        <v>36</v>
      </c>
      <c r="B16" s="237">
        <v>18.3</v>
      </c>
      <c r="C16" s="345">
        <v>19</v>
      </c>
      <c r="D16" s="292">
        <v>41</v>
      </c>
      <c r="E16" s="73"/>
      <c r="F16" s="12"/>
      <c r="G16" s="12"/>
      <c r="H16" s="74">
        <f t="shared" si="2"/>
        <v>50000</v>
      </c>
      <c r="I16" s="75">
        <f t="shared" si="3"/>
        <v>50000</v>
      </c>
      <c r="P16" s="70">
        <v>28</v>
      </c>
      <c r="Q16" s="57">
        <f>ROUND(P16*18/P3,0)</f>
        <v>32</v>
      </c>
    </row>
    <row r="17" spans="1:17" s="80" customFormat="1" ht="18" customHeight="1" x14ac:dyDescent="0.15">
      <c r="A17" s="362" t="s">
        <v>10</v>
      </c>
      <c r="B17" s="237">
        <v>14.3</v>
      </c>
      <c r="C17" s="345">
        <v>18</v>
      </c>
      <c r="D17" s="292">
        <v>41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70">
        <v>29</v>
      </c>
      <c r="Q17" s="57">
        <f>ROUND(P17*18/P3,0)</f>
        <v>33</v>
      </c>
    </row>
    <row r="18" spans="1:17" s="80" customFormat="1" ht="18" customHeight="1" x14ac:dyDescent="0.15">
      <c r="A18" s="362" t="s">
        <v>20</v>
      </c>
      <c r="B18" s="237">
        <v>18.100000000000001</v>
      </c>
      <c r="C18" s="345">
        <v>18</v>
      </c>
      <c r="D18" s="292">
        <v>39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"/>
      <c r="K18" s="8"/>
      <c r="L18" s="8"/>
      <c r="M18" s="8"/>
      <c r="N18" s="8"/>
      <c r="O18" s="86"/>
      <c r="P18" s="70">
        <v>30</v>
      </c>
      <c r="Q18" s="57">
        <f>ROUND(P18*18/P3,0)</f>
        <v>34</v>
      </c>
    </row>
    <row r="19" spans="1:17" s="80" customFormat="1" ht="18" customHeight="1" x14ac:dyDescent="0.15">
      <c r="A19" s="362"/>
      <c r="B19" s="237"/>
      <c r="C19" s="345"/>
      <c r="D19" s="292"/>
      <c r="E19" s="73"/>
      <c r="F19" s="71"/>
      <c r="G19" s="71"/>
      <c r="H19" s="74">
        <f t="shared" si="2"/>
        <v>0</v>
      </c>
      <c r="I19" s="75">
        <f t="shared" si="3"/>
        <v>0</v>
      </c>
      <c r="J19" s="8"/>
      <c r="K19" s="8"/>
      <c r="L19" s="8"/>
      <c r="M19" s="8"/>
      <c r="N19" s="8"/>
      <c r="O19" s="86"/>
      <c r="P19" s="70">
        <v>31</v>
      </c>
      <c r="Q19" s="57">
        <f>ROUND(P19*18/P3,0)</f>
        <v>35</v>
      </c>
    </row>
    <row r="20" spans="1:17" s="56" customFormat="1" ht="18" customHeight="1" x14ac:dyDescent="0.15">
      <c r="A20" s="362"/>
      <c r="B20" s="237"/>
      <c r="C20" s="345"/>
      <c r="D20" s="292"/>
      <c r="E20" s="73"/>
      <c r="F20" s="12"/>
      <c r="G20" s="12"/>
      <c r="H20" s="74">
        <f t="shared" si="2"/>
        <v>0</v>
      </c>
      <c r="I20" s="75">
        <f t="shared" si="3"/>
        <v>0</v>
      </c>
      <c r="J20" s="8"/>
      <c r="K20" s="8"/>
      <c r="L20" s="8"/>
      <c r="M20" s="8"/>
      <c r="N20" s="8"/>
      <c r="P20" s="70">
        <v>32</v>
      </c>
      <c r="Q20" s="57">
        <f>ROUND(P20*18/P3,0)</f>
        <v>36</v>
      </c>
    </row>
    <row r="21" spans="1:17" s="56" customFormat="1" ht="18" customHeight="1" x14ac:dyDescent="0.15">
      <c r="A21" s="362"/>
      <c r="B21" s="237"/>
      <c r="C21" s="419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8"/>
      <c r="K21" s="8"/>
      <c r="L21" s="8"/>
      <c r="M21" s="8"/>
      <c r="N21" s="8"/>
      <c r="P21" s="70">
        <v>33</v>
      </c>
      <c r="Q21" s="57">
        <f>ROUND(P21*18/P3,0)</f>
        <v>37</v>
      </c>
    </row>
    <row r="22" spans="1:17" s="56" customFormat="1" ht="18" customHeight="1" x14ac:dyDescent="0.15">
      <c r="A22" s="362"/>
      <c r="B22" s="237"/>
      <c r="C22" s="71"/>
      <c r="D22" s="72"/>
      <c r="E22" s="87"/>
      <c r="F22" s="12"/>
      <c r="G22" s="12"/>
      <c r="H22" s="74">
        <f t="shared" si="2"/>
        <v>0</v>
      </c>
      <c r="I22" s="75">
        <f t="shared" si="3"/>
        <v>0</v>
      </c>
      <c r="J22" s="8"/>
      <c r="K22" s="8"/>
      <c r="L22" s="8"/>
      <c r="M22" s="8"/>
      <c r="N22" s="8"/>
      <c r="P22" s="70">
        <v>34</v>
      </c>
      <c r="Q22" s="57">
        <f>ROUND(P22*18/P3,0)</f>
        <v>38</v>
      </c>
    </row>
    <row r="23" spans="1:17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8"/>
      <c r="K23" s="8"/>
      <c r="L23" s="8"/>
      <c r="M23" s="8"/>
      <c r="N23" s="8"/>
      <c r="P23" s="70">
        <v>35</v>
      </c>
      <c r="Q23" s="57">
        <f>ROUND(P23*18/P3,0)</f>
        <v>39</v>
      </c>
    </row>
    <row r="24" spans="1:17" s="56" customFormat="1" ht="18" customHeight="1" x14ac:dyDescent="0.15">
      <c r="A24" s="362"/>
      <c r="B24" s="237"/>
      <c r="C24" s="71"/>
      <c r="D24" s="104" t="s">
        <v>96</v>
      </c>
      <c r="E24" s="87"/>
      <c r="F24" s="12"/>
      <c r="G24" s="12"/>
      <c r="H24" s="74">
        <f t="shared" si="2"/>
        <v>0</v>
      </c>
      <c r="I24" s="75">
        <f>IF(E24&gt;0,$N$13,0)+IF(C24&gt;0,50000,0)+IF(C24&lt;0,50000,0)</f>
        <v>0</v>
      </c>
      <c r="J24" s="8"/>
      <c r="K24" s="8"/>
      <c r="L24" s="8"/>
      <c r="M24" s="8"/>
      <c r="N24" s="8"/>
      <c r="P24" s="70">
        <v>36</v>
      </c>
      <c r="Q24" s="57">
        <f>ROUND(P24*18/P3,0)</f>
        <v>41</v>
      </c>
    </row>
    <row r="25" spans="1:17" s="56" customFormat="1" ht="18" customHeight="1" x14ac:dyDescent="0.15">
      <c r="A25" s="362"/>
      <c r="B25" s="237"/>
      <c r="C25" s="72"/>
      <c r="D25" s="72"/>
      <c r="E25" s="87"/>
      <c r="F25" s="12"/>
      <c r="G25" s="12"/>
      <c r="H25" s="74">
        <f t="shared" si="2"/>
        <v>0</v>
      </c>
      <c r="I25" s="75">
        <f t="shared" si="3"/>
        <v>0</v>
      </c>
      <c r="J25" s="8"/>
      <c r="K25" s="8"/>
      <c r="L25" s="8"/>
      <c r="M25" s="8"/>
      <c r="N25" s="8"/>
      <c r="P25" s="70">
        <v>37</v>
      </c>
      <c r="Q25" s="57">
        <f>ROUND(P25*18/P3,0)</f>
        <v>42</v>
      </c>
    </row>
    <row r="26" spans="1:17" s="56" customFormat="1" ht="18" customHeight="1" x14ac:dyDescent="0.15">
      <c r="A26" s="362"/>
      <c r="B26" s="237"/>
      <c r="C26" s="72"/>
      <c r="D26" s="72"/>
      <c r="E26" s="87"/>
      <c r="F26" s="12"/>
      <c r="G26" s="12"/>
      <c r="H26" s="74">
        <f t="shared" si="2"/>
        <v>0</v>
      </c>
      <c r="I26" s="75">
        <f t="shared" si="3"/>
        <v>0</v>
      </c>
      <c r="J26" s="8"/>
      <c r="K26" s="8"/>
      <c r="L26" s="8"/>
      <c r="M26" s="8"/>
      <c r="N26" s="8"/>
      <c r="P26" s="70">
        <v>38</v>
      </c>
      <c r="Q26" s="57">
        <f>ROUND(P26*18/P3,0)</f>
        <v>43</v>
      </c>
    </row>
    <row r="27" spans="1:17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  <c r="J27" s="8"/>
      <c r="K27" s="8"/>
      <c r="L27" s="8"/>
      <c r="M27" s="8"/>
      <c r="N27" s="8"/>
      <c r="P27" s="70">
        <v>39</v>
      </c>
      <c r="Q27" s="57">
        <f>ROUND(P27*18/P3,0)</f>
        <v>44</v>
      </c>
    </row>
    <row r="28" spans="1:17" ht="24" customHeight="1" x14ac:dyDescent="0.15">
      <c r="A28" s="362"/>
      <c r="B28" s="237"/>
      <c r="C28" s="71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  <c r="P28" s="70">
        <v>40</v>
      </c>
      <c r="Q28" s="57">
        <f>ROUND(P28*18/P3,0)</f>
        <v>45</v>
      </c>
    </row>
    <row r="29" spans="1:17" ht="17" thickBot="1" x14ac:dyDescent="0.2">
      <c r="A29" s="1"/>
      <c r="B29" s="3"/>
      <c r="C29" s="105"/>
      <c r="D29" s="106">
        <f>SUM(D4:D28)</f>
        <v>569</v>
      </c>
      <c r="E29" s="105"/>
      <c r="F29" s="3"/>
      <c r="G29" s="107">
        <f>SUM(G4:G28)</f>
        <v>39</v>
      </c>
      <c r="H29" s="107">
        <f>SUM(H4:H28)</f>
        <v>7110000</v>
      </c>
      <c r="I29" s="108"/>
      <c r="P29" s="70">
        <v>41</v>
      </c>
      <c r="Q29" s="57">
        <f>ROUND(P29*18/P3,0)</f>
        <v>46</v>
      </c>
    </row>
  </sheetData>
  <sheetProtection selectLockedCells="1" selectUnlockedCells="1"/>
  <sortState ref="A4:C18">
    <sortCondition descending="1" ref="C4:C18"/>
    <sortCondition ref="B4:B18"/>
  </sortState>
  <mergeCells count="2">
    <mergeCell ref="B1:N1"/>
    <mergeCell ref="B2:N2"/>
  </mergeCells>
  <printOptions horizontalCentered="1" verticalCentered="1"/>
  <pageMargins left="0.43000000000000005" right="0.43000000000000005" top="0.55000000000000004" bottom="0.55000000000000004" header="0.51" footer="0.51"/>
  <pageSetup paperSize="9" scale="78" firstPageNumber="0" orientation="landscape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4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" customHeight="1" x14ac:dyDescent="0.15">
      <c r="B1" s="440" t="s">
        <v>279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278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12.8</v>
      </c>
      <c r="C4" s="71">
        <v>34</v>
      </c>
      <c r="D4" s="72">
        <v>29</v>
      </c>
      <c r="E4" s="87"/>
      <c r="F4" s="71">
        <v>1</v>
      </c>
      <c r="G4" s="71">
        <v>10</v>
      </c>
      <c r="H4" s="74">
        <f t="shared" ref="H4:H11" si="0">N4+I4</f>
        <v>1300000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1250000</v>
      </c>
    </row>
    <row r="5" spans="1:18" s="80" customFormat="1" ht="18" customHeight="1" x14ac:dyDescent="0.15">
      <c r="A5" s="362" t="s">
        <v>10</v>
      </c>
      <c r="B5" s="237">
        <v>14.3</v>
      </c>
      <c r="C5" s="71">
        <v>34</v>
      </c>
      <c r="D5" s="72">
        <v>30</v>
      </c>
      <c r="E5" s="73"/>
      <c r="F5" s="71">
        <v>2</v>
      </c>
      <c r="G5" s="71">
        <v>8</v>
      </c>
      <c r="H5" s="74">
        <f t="shared" si="0"/>
        <v>1050000</v>
      </c>
      <c r="I5" s="75">
        <f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1000000</v>
      </c>
    </row>
    <row r="6" spans="1:18" s="80" customFormat="1" ht="18" customHeight="1" x14ac:dyDescent="0.15">
      <c r="A6" s="362" t="s">
        <v>38</v>
      </c>
      <c r="B6" s="237">
        <v>15.4</v>
      </c>
      <c r="C6" s="71">
        <v>34</v>
      </c>
      <c r="D6" s="72">
        <v>28</v>
      </c>
      <c r="E6" s="87"/>
      <c r="F6" s="12">
        <v>3</v>
      </c>
      <c r="G6" s="12">
        <v>6</v>
      </c>
      <c r="H6" s="74">
        <f t="shared" si="0"/>
        <v>800000</v>
      </c>
      <c r="I6" s="75">
        <f t="shared" ref="I6:I11" si="1">IF(E6&gt;0,$N$13,0)+IF(C6&gt;0,50000,0)+IF(C14&lt;0,50000,0)</f>
        <v>50000</v>
      </c>
      <c r="J6" s="81" t="s">
        <v>88</v>
      </c>
      <c r="K6" s="82"/>
      <c r="L6" s="83"/>
      <c r="M6" s="84">
        <v>6</v>
      </c>
      <c r="N6" s="74">
        <f>N12*15%</f>
        <v>750000</v>
      </c>
    </row>
    <row r="7" spans="1:18" s="80" customFormat="1" ht="18" customHeight="1" x14ac:dyDescent="0.15">
      <c r="A7" s="362" t="s">
        <v>14</v>
      </c>
      <c r="B7" s="237">
        <v>12.7</v>
      </c>
      <c r="C7" s="71">
        <v>32</v>
      </c>
      <c r="D7" s="91">
        <v>27</v>
      </c>
      <c r="E7" s="87" t="s">
        <v>290</v>
      </c>
      <c r="F7" s="71">
        <v>4</v>
      </c>
      <c r="G7" s="71">
        <v>5</v>
      </c>
      <c r="H7" s="74">
        <f t="shared" si="0"/>
        <v>950000</v>
      </c>
      <c r="I7" s="75">
        <f t="shared" si="1"/>
        <v>350000</v>
      </c>
      <c r="J7" s="81" t="s">
        <v>89</v>
      </c>
      <c r="K7" s="82"/>
      <c r="L7" s="83"/>
      <c r="M7" s="84">
        <v>5</v>
      </c>
      <c r="N7" s="74">
        <f>N12*12%</f>
        <v>600000</v>
      </c>
      <c r="O7" s="85"/>
      <c r="P7" s="85"/>
      <c r="Q7" s="85"/>
      <c r="R7" s="86"/>
    </row>
    <row r="8" spans="1:18" s="80" customFormat="1" ht="18" customHeight="1" x14ac:dyDescent="0.15">
      <c r="A8" s="362" t="s">
        <v>48</v>
      </c>
      <c r="B8" s="237">
        <v>9.6</v>
      </c>
      <c r="C8" s="71">
        <v>31</v>
      </c>
      <c r="D8" s="72">
        <v>35</v>
      </c>
      <c r="E8" s="73"/>
      <c r="F8" s="71">
        <v>5</v>
      </c>
      <c r="G8" s="71">
        <v>4</v>
      </c>
      <c r="H8" s="74">
        <f t="shared" si="0"/>
        <v>550000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500000</v>
      </c>
    </row>
    <row r="9" spans="1:18" s="80" customFormat="1" ht="18" customHeight="1" x14ac:dyDescent="0.15">
      <c r="A9" s="362" t="s">
        <v>32</v>
      </c>
      <c r="B9" s="237">
        <v>13.9</v>
      </c>
      <c r="C9" s="72">
        <v>31</v>
      </c>
      <c r="D9" s="72">
        <v>34</v>
      </c>
      <c r="E9" s="87"/>
      <c r="F9" s="88">
        <v>6</v>
      </c>
      <c r="G9" s="88">
        <v>3</v>
      </c>
      <c r="H9" s="74">
        <f t="shared" si="0"/>
        <v>450000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400000</v>
      </c>
    </row>
    <row r="10" spans="1:18" s="80" customFormat="1" ht="18" customHeight="1" x14ac:dyDescent="0.15">
      <c r="A10" s="362" t="s">
        <v>18</v>
      </c>
      <c r="B10" s="237">
        <v>13.8</v>
      </c>
      <c r="C10" s="72">
        <v>30</v>
      </c>
      <c r="D10" s="91">
        <v>33</v>
      </c>
      <c r="E10" s="73">
        <v>1.8</v>
      </c>
      <c r="F10" s="71">
        <v>7</v>
      </c>
      <c r="G10" s="71">
        <v>2</v>
      </c>
      <c r="H10" s="74">
        <f t="shared" si="0"/>
        <v>650000</v>
      </c>
      <c r="I10" s="75">
        <f t="shared" si="1"/>
        <v>350000</v>
      </c>
      <c r="J10" s="81" t="s">
        <v>92</v>
      </c>
      <c r="K10" s="82"/>
      <c r="L10" s="83"/>
      <c r="M10" s="84">
        <v>2</v>
      </c>
      <c r="N10" s="74">
        <f>N12*6%</f>
        <v>300000</v>
      </c>
    </row>
    <row r="11" spans="1:18" s="80" customFormat="1" ht="18" customHeight="1" x14ac:dyDescent="0.15">
      <c r="A11" s="362" t="s">
        <v>30</v>
      </c>
      <c r="B11" s="237">
        <v>11.3</v>
      </c>
      <c r="C11" s="72">
        <v>29</v>
      </c>
      <c r="D11" s="72">
        <v>32</v>
      </c>
      <c r="E11" s="73">
        <v>2.09</v>
      </c>
      <c r="F11" s="71">
        <v>8</v>
      </c>
      <c r="G11" s="71">
        <v>1</v>
      </c>
      <c r="H11" s="74">
        <f t="shared" si="0"/>
        <v>550000</v>
      </c>
      <c r="I11" s="75">
        <f t="shared" si="1"/>
        <v>350000</v>
      </c>
      <c r="J11" s="81" t="s">
        <v>93</v>
      </c>
      <c r="K11" s="82"/>
      <c r="L11" s="83"/>
      <c r="M11" s="84">
        <v>1</v>
      </c>
      <c r="N11" s="74">
        <f>N12*4%</f>
        <v>200000</v>
      </c>
    </row>
    <row r="12" spans="1:18" s="80" customFormat="1" ht="18" customHeight="1" x14ac:dyDescent="0.15">
      <c r="A12" s="362" t="s">
        <v>28</v>
      </c>
      <c r="B12" s="237">
        <v>11.7</v>
      </c>
      <c r="C12" s="71">
        <v>29</v>
      </c>
      <c r="D12" s="72">
        <v>35</v>
      </c>
      <c r="E12" s="73">
        <v>7.73</v>
      </c>
      <c r="F12" s="71"/>
      <c r="G12" s="71"/>
      <c r="H12" s="74">
        <f>I12</f>
        <v>350000</v>
      </c>
      <c r="I12" s="75">
        <f t="shared" ref="I12:I23" si="2">IF(E12&gt;0,$N$13,0)+IF(C12&gt;0,50000,0)+IF(C12&lt;0,50000,0)</f>
        <v>350000</v>
      </c>
      <c r="J12" s="89" t="s">
        <v>94</v>
      </c>
      <c r="K12" s="82"/>
      <c r="L12" s="83"/>
      <c r="M12" s="84"/>
      <c r="N12" s="90">
        <v>5000000</v>
      </c>
    </row>
    <row r="13" spans="1:18" s="80" customFormat="1" ht="18" customHeight="1" x14ac:dyDescent="0.15">
      <c r="A13" s="362" t="s">
        <v>44</v>
      </c>
      <c r="B13" s="237">
        <v>16.2</v>
      </c>
      <c r="C13" s="71">
        <v>29</v>
      </c>
      <c r="D13" s="342">
        <v>34</v>
      </c>
      <c r="E13" s="73"/>
      <c r="F13" s="71"/>
      <c r="G13" s="71"/>
      <c r="H13" s="74">
        <f t="shared" ref="H13:H28" si="3">I13</f>
        <v>50000</v>
      </c>
      <c r="I13" s="75">
        <f t="shared" si="2"/>
        <v>50000</v>
      </c>
      <c r="J13" s="92" t="s">
        <v>95</v>
      </c>
      <c r="K13" s="93"/>
      <c r="L13" s="94"/>
      <c r="M13" s="95">
        <v>1</v>
      </c>
      <c r="N13" s="96">
        <f>N10</f>
        <v>300000</v>
      </c>
    </row>
    <row r="14" spans="1:18" s="80" customFormat="1" ht="18" customHeight="1" x14ac:dyDescent="0.15">
      <c r="A14" s="362" t="s">
        <v>22</v>
      </c>
      <c r="B14" s="237">
        <v>13.6</v>
      </c>
      <c r="C14" s="72">
        <v>25</v>
      </c>
      <c r="D14" s="72">
        <v>36</v>
      </c>
      <c r="E14" s="73"/>
      <c r="F14" s="71"/>
      <c r="G14" s="71"/>
      <c r="H14" s="74">
        <f t="shared" si="3"/>
        <v>50000</v>
      </c>
      <c r="I14" s="75">
        <f>IF(E14&gt;0,$N$13,0)+IF(C14&gt;0,50000,0)+IF(C14&lt;0,50000,0)</f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42</v>
      </c>
      <c r="B15" s="237">
        <v>17.399999999999999</v>
      </c>
      <c r="C15" s="71">
        <v>24</v>
      </c>
      <c r="D15" s="72">
        <v>37</v>
      </c>
      <c r="E15" s="87"/>
      <c r="F15" s="71"/>
      <c r="G15" s="71"/>
      <c r="H15" s="74">
        <f t="shared" si="3"/>
        <v>50000</v>
      </c>
      <c r="I15" s="75">
        <f t="shared" si="2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/>
      <c r="B16" s="237"/>
      <c r="C16" s="12"/>
      <c r="D16" s="91"/>
      <c r="E16" s="87"/>
      <c r="F16" s="12"/>
      <c r="G16" s="12"/>
      <c r="H16" s="74">
        <f t="shared" si="3"/>
        <v>0</v>
      </c>
      <c r="I16" s="75">
        <f t="shared" si="2"/>
        <v>0</v>
      </c>
    </row>
    <row r="17" spans="1:18" s="80" customFormat="1" ht="18" customHeight="1" x14ac:dyDescent="0.15">
      <c r="A17" s="362"/>
      <c r="B17" s="237"/>
      <c r="C17" s="71"/>
      <c r="D17" s="91"/>
      <c r="E17" s="73"/>
      <c r="F17" s="12"/>
      <c r="G17" s="12"/>
      <c r="H17" s="74">
        <f t="shared" si="3"/>
        <v>0</v>
      </c>
      <c r="I17" s="75">
        <f t="shared" si="2"/>
        <v>0</v>
      </c>
      <c r="O17" s="85"/>
      <c r="P17" s="85"/>
      <c r="Q17" s="85"/>
      <c r="R17" s="86"/>
    </row>
    <row r="18" spans="1:18" s="80" customFormat="1" ht="18" customHeight="1" x14ac:dyDescent="0.15">
      <c r="A18" s="362"/>
      <c r="B18" s="237"/>
      <c r="C18" s="71"/>
      <c r="D18" s="91"/>
      <c r="E18" s="73"/>
      <c r="F18" s="71"/>
      <c r="G18" s="71"/>
      <c r="H18" s="74">
        <f t="shared" si="3"/>
        <v>0</v>
      </c>
      <c r="I18" s="75">
        <f t="shared" si="2"/>
        <v>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71"/>
      <c r="D19" s="91"/>
      <c r="E19" s="73"/>
      <c r="F19" s="71"/>
      <c r="G19" s="71"/>
      <c r="H19" s="74">
        <f t="shared" si="3"/>
        <v>0</v>
      </c>
      <c r="I19" s="75">
        <f t="shared" si="2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3"/>
        <v>0</v>
      </c>
      <c r="I20" s="75">
        <f t="shared" si="2"/>
        <v>0</v>
      </c>
    </row>
    <row r="21" spans="1:18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3"/>
        <v>0</v>
      </c>
      <c r="I21" s="75">
        <f t="shared" si="2"/>
        <v>0</v>
      </c>
    </row>
    <row r="22" spans="1:18" s="56" customFormat="1" ht="18" customHeight="1" x14ac:dyDescent="0.15">
      <c r="A22" s="362"/>
      <c r="B22" s="237"/>
      <c r="C22" s="72"/>
      <c r="D22" s="72"/>
      <c r="E22" s="73"/>
      <c r="F22" s="12"/>
      <c r="G22" s="12"/>
      <c r="H22" s="74">
        <f t="shared" si="3"/>
        <v>0</v>
      </c>
      <c r="I22" s="75">
        <f t="shared" si="2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3"/>
        <v>0</v>
      </c>
      <c r="I23" s="75">
        <f t="shared" si="2"/>
        <v>0</v>
      </c>
    </row>
    <row r="24" spans="1:18" s="56" customFormat="1" ht="18" customHeight="1" x14ac:dyDescent="0.15">
      <c r="A24" s="362"/>
      <c r="B24" s="237"/>
      <c r="C24" s="71"/>
      <c r="D24" s="72"/>
      <c r="E24" s="73"/>
      <c r="F24" s="12"/>
      <c r="G24" s="12"/>
      <c r="H24" s="74">
        <f t="shared" si="3"/>
        <v>0</v>
      </c>
      <c r="I24" s="75">
        <f>IF(E24&gt;0,$N$13,0)+IF(C24&gt;0,50000,0)+IF(C24&lt;0,50000,0)</f>
        <v>0</v>
      </c>
    </row>
    <row r="25" spans="1:18" s="56" customFormat="1" ht="18" customHeight="1" x14ac:dyDescent="0.15">
      <c r="A25" s="149"/>
      <c r="B25" s="237"/>
      <c r="C25" s="71"/>
      <c r="D25" s="91"/>
      <c r="E25" s="73"/>
      <c r="F25" s="12"/>
      <c r="G25" s="12"/>
      <c r="H25" s="74">
        <f t="shared" si="3"/>
        <v>0</v>
      </c>
      <c r="I25" s="75">
        <f>IF(E25&gt;0,$N$13,0)+IF(C25&gt;0,50000,0)+IF(C25&lt;0,50000,0)</f>
        <v>0</v>
      </c>
    </row>
    <row r="26" spans="1:18" s="56" customFormat="1" ht="18" customHeight="1" x14ac:dyDescent="0.15">
      <c r="A26" s="149"/>
      <c r="B26" s="237"/>
      <c r="C26" s="71"/>
      <c r="D26" s="91"/>
      <c r="E26" s="87"/>
      <c r="F26" s="12"/>
      <c r="G26" s="12"/>
      <c r="H26" s="74">
        <f t="shared" si="3"/>
        <v>0</v>
      </c>
      <c r="I26" s="75">
        <f>IF(E26&gt;0,$N$13,0)+IF(C26&gt;0,50000,0)+IF(C26&lt;0,50000,0)</f>
        <v>0</v>
      </c>
    </row>
    <row r="27" spans="1:18" s="56" customFormat="1" ht="18" customHeight="1" x14ac:dyDescent="0.15">
      <c r="A27" s="149"/>
      <c r="B27" s="237"/>
      <c r="C27" s="72"/>
      <c r="D27" s="72"/>
      <c r="E27" s="87"/>
      <c r="F27" s="71"/>
      <c r="G27" s="71"/>
      <c r="H27" s="74">
        <f t="shared" si="3"/>
        <v>0</v>
      </c>
      <c r="I27" s="75">
        <f>IF(E27&gt;0,$N$13,0)+IF(C27&gt;0,50000,0)+IF(C27&lt;0,50000,0)</f>
        <v>0</v>
      </c>
    </row>
    <row r="28" spans="1:18" s="56" customFormat="1" ht="18" customHeight="1" x14ac:dyDescent="0.15">
      <c r="A28" s="149"/>
      <c r="B28" s="237"/>
      <c r="C28" s="91"/>
      <c r="D28" s="72"/>
      <c r="E28" s="73"/>
      <c r="F28" s="71"/>
      <c r="G28" s="71"/>
      <c r="H28" s="74">
        <f t="shared" si="3"/>
        <v>0</v>
      </c>
      <c r="I28" s="75">
        <f>IF(E28&gt;0,$N$13,0)+IF(C28&gt;0,50000,0)+IF(C28&lt;0,50000,0)</f>
        <v>0</v>
      </c>
    </row>
    <row r="29" spans="1:18" ht="24" customHeight="1" x14ac:dyDescent="0.15">
      <c r="A29" s="1"/>
      <c r="B29" s="3"/>
      <c r="C29" s="105"/>
      <c r="D29" s="106">
        <f>SUM(D4:D28)</f>
        <v>390</v>
      </c>
      <c r="E29" s="105"/>
      <c r="F29" s="3"/>
      <c r="G29" s="107">
        <f>SUM(G4:G28)</f>
        <v>39</v>
      </c>
      <c r="H29" s="107">
        <f>SUM(H4:H28)</f>
        <v>6800000</v>
      </c>
      <c r="I29" s="108"/>
    </row>
  </sheetData>
  <sheetProtection selectLockedCells="1" selectUnlockedCells="1"/>
  <sortState ref="A4:D15">
    <sortCondition descending="1" ref="C4:C15"/>
    <sortCondition ref="B4:B15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89" firstPageNumber="0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8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" customHeight="1" x14ac:dyDescent="0.15">
      <c r="B1" s="440" t="s">
        <v>280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277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83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48</v>
      </c>
      <c r="B4" s="237">
        <v>9.4</v>
      </c>
      <c r="C4" s="72">
        <v>35</v>
      </c>
      <c r="D4" s="72">
        <v>29</v>
      </c>
      <c r="E4" s="87" t="s">
        <v>289</v>
      </c>
      <c r="F4" s="71">
        <v>1</v>
      </c>
      <c r="G4" s="71">
        <v>10</v>
      </c>
      <c r="H4" s="74">
        <v>1900000</v>
      </c>
      <c r="I4" s="75">
        <f>IF(E4&gt;0,$N$13,0)+IF(C4&gt;0,50000,0)+IF(C12&lt;0,50000,0)</f>
        <v>350000</v>
      </c>
      <c r="J4" s="76" t="s">
        <v>86</v>
      </c>
      <c r="K4" s="77"/>
      <c r="L4" s="78"/>
      <c r="M4" s="79">
        <v>10</v>
      </c>
      <c r="N4" s="74">
        <f>N12*25%</f>
        <v>1250000</v>
      </c>
    </row>
    <row r="5" spans="1:18" s="80" customFormat="1" ht="18" customHeight="1" x14ac:dyDescent="0.15">
      <c r="A5" s="362" t="s">
        <v>10</v>
      </c>
      <c r="B5" s="237">
        <v>14.2</v>
      </c>
      <c r="C5" s="71">
        <v>35</v>
      </c>
      <c r="D5" s="91">
        <v>35</v>
      </c>
      <c r="E5" s="73"/>
      <c r="F5" s="71">
        <v>2</v>
      </c>
      <c r="G5" s="71">
        <v>8</v>
      </c>
      <c r="H5" s="74">
        <f t="shared" ref="H5:H11" si="0">N5+I5</f>
        <v>1050000</v>
      </c>
      <c r="I5" s="75">
        <f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1000000</v>
      </c>
    </row>
    <row r="6" spans="1:18" s="80" customFormat="1" ht="18" customHeight="1" x14ac:dyDescent="0.15">
      <c r="A6" s="362" t="s">
        <v>30</v>
      </c>
      <c r="B6" s="237">
        <v>11.2</v>
      </c>
      <c r="C6" s="71">
        <v>34</v>
      </c>
      <c r="D6" s="91">
        <v>31</v>
      </c>
      <c r="E6" s="87"/>
      <c r="F6" s="12">
        <v>3</v>
      </c>
      <c r="G6" s="12">
        <v>6</v>
      </c>
      <c r="H6" s="74">
        <f t="shared" si="0"/>
        <v>800000</v>
      </c>
      <c r="I6" s="75">
        <f t="shared" ref="I6:I11" si="1">IF(E6&gt;0,$N$13,0)+IF(C6&gt;0,50000,0)+IF(C14&lt;0,50000,0)</f>
        <v>50000</v>
      </c>
      <c r="J6" s="81" t="s">
        <v>88</v>
      </c>
      <c r="K6" s="82"/>
      <c r="L6" s="83"/>
      <c r="M6" s="84">
        <v>6</v>
      </c>
      <c r="N6" s="74">
        <f>N12*15%</f>
        <v>750000</v>
      </c>
    </row>
    <row r="7" spans="1:18" s="80" customFormat="1" ht="18" customHeight="1" x14ac:dyDescent="0.15">
      <c r="A7" s="362" t="s">
        <v>38</v>
      </c>
      <c r="B7" s="237">
        <v>15.7</v>
      </c>
      <c r="C7" s="71">
        <v>33</v>
      </c>
      <c r="D7" s="72">
        <v>29</v>
      </c>
      <c r="E7" s="87"/>
      <c r="F7" s="71">
        <v>4</v>
      </c>
      <c r="G7" s="71">
        <v>5</v>
      </c>
      <c r="H7" s="74">
        <f t="shared" si="0"/>
        <v>650000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600000</v>
      </c>
      <c r="O7" s="85"/>
      <c r="P7" s="85"/>
      <c r="Q7" s="85"/>
      <c r="R7" s="86"/>
    </row>
    <row r="8" spans="1:18" s="80" customFormat="1" ht="18" customHeight="1" x14ac:dyDescent="0.15">
      <c r="A8" s="362" t="s">
        <v>32</v>
      </c>
      <c r="B8" s="237">
        <v>13.7</v>
      </c>
      <c r="C8" s="71">
        <v>32</v>
      </c>
      <c r="D8" s="72">
        <v>33</v>
      </c>
      <c r="E8" s="73"/>
      <c r="F8" s="71">
        <v>5</v>
      </c>
      <c r="G8" s="71">
        <v>4</v>
      </c>
      <c r="H8" s="74">
        <f t="shared" si="0"/>
        <v>550000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500000</v>
      </c>
    </row>
    <row r="9" spans="1:18" s="80" customFormat="1" ht="18" customHeight="1" x14ac:dyDescent="0.15">
      <c r="A9" s="362" t="s">
        <v>14</v>
      </c>
      <c r="B9" s="237">
        <v>12.5</v>
      </c>
      <c r="C9" s="72">
        <v>29</v>
      </c>
      <c r="D9" s="72">
        <v>32</v>
      </c>
      <c r="E9" s="87"/>
      <c r="F9" s="88">
        <v>6</v>
      </c>
      <c r="G9" s="88">
        <v>3</v>
      </c>
      <c r="H9" s="74">
        <f t="shared" si="0"/>
        <v>450000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400000</v>
      </c>
    </row>
    <row r="10" spans="1:18" s="80" customFormat="1" ht="18" customHeight="1" x14ac:dyDescent="0.15">
      <c r="A10" s="362" t="s">
        <v>34</v>
      </c>
      <c r="B10" s="237">
        <v>12.6</v>
      </c>
      <c r="C10" s="72">
        <v>29</v>
      </c>
      <c r="D10" s="72">
        <v>32</v>
      </c>
      <c r="E10" s="73"/>
      <c r="F10" s="71">
        <v>7</v>
      </c>
      <c r="G10" s="71">
        <v>2</v>
      </c>
      <c r="H10" s="74">
        <f t="shared" si="0"/>
        <v>350000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300000</v>
      </c>
    </row>
    <row r="11" spans="1:18" s="80" customFormat="1" ht="18" customHeight="1" x14ac:dyDescent="0.15">
      <c r="A11" s="362" t="s">
        <v>18</v>
      </c>
      <c r="B11" s="237">
        <v>13.4</v>
      </c>
      <c r="C11" s="72">
        <v>28</v>
      </c>
      <c r="D11" s="72">
        <v>29</v>
      </c>
      <c r="E11" s="73"/>
      <c r="F11" s="71">
        <v>8</v>
      </c>
      <c r="G11" s="71">
        <v>1</v>
      </c>
      <c r="H11" s="74">
        <f t="shared" si="0"/>
        <v>250000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200000</v>
      </c>
    </row>
    <row r="12" spans="1:18" s="80" customFormat="1" ht="18" customHeight="1" x14ac:dyDescent="0.15">
      <c r="A12" s="362" t="s">
        <v>44</v>
      </c>
      <c r="B12" s="237">
        <v>16</v>
      </c>
      <c r="C12" s="71">
        <v>28</v>
      </c>
      <c r="D12" s="72">
        <v>32</v>
      </c>
      <c r="E12" s="73"/>
      <c r="F12" s="71"/>
      <c r="G12" s="71"/>
      <c r="H12" s="74">
        <f>I12</f>
        <v>50000</v>
      </c>
      <c r="I12" s="75">
        <f>IF(E12&gt;0,$N$13,0)+IF(C12&gt;0,50000,0)+IF(C12&lt;0,50000,0)</f>
        <v>50000</v>
      </c>
      <c r="J12" s="89" t="s">
        <v>94</v>
      </c>
      <c r="K12" s="82"/>
      <c r="L12" s="83"/>
      <c r="M12" s="84"/>
      <c r="N12" s="90">
        <v>5000000</v>
      </c>
    </row>
    <row r="13" spans="1:18" s="80" customFormat="1" ht="18" customHeight="1" x14ac:dyDescent="0.15">
      <c r="A13" s="362" t="s">
        <v>22</v>
      </c>
      <c r="B13" s="237">
        <v>13.4</v>
      </c>
      <c r="C13" s="71">
        <v>25</v>
      </c>
      <c r="D13" s="72">
        <v>34</v>
      </c>
      <c r="E13" s="73"/>
      <c r="F13" s="71"/>
      <c r="G13" s="71"/>
      <c r="H13" s="74">
        <f t="shared" ref="H13:H27" si="2">I13</f>
        <v>50000</v>
      </c>
      <c r="I13" s="75">
        <f t="shared" ref="I13:I27" si="3">IF(E13&gt;0,$N$13,0)+IF(C13&gt;0,50000,0)+IF(C13&lt;0,50000,0)</f>
        <v>50000</v>
      </c>
      <c r="J13" s="92" t="s">
        <v>95</v>
      </c>
      <c r="K13" s="93"/>
      <c r="L13" s="94"/>
      <c r="M13" s="95">
        <v>1</v>
      </c>
      <c r="N13" s="96">
        <f>N10</f>
        <v>300000</v>
      </c>
    </row>
    <row r="14" spans="1:18" s="80" customFormat="1" ht="18" customHeight="1" x14ac:dyDescent="0.15">
      <c r="A14" s="362" t="s">
        <v>42</v>
      </c>
      <c r="B14" s="237">
        <v>17.2</v>
      </c>
      <c r="C14" s="71">
        <v>25</v>
      </c>
      <c r="D14" s="342">
        <v>36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28</v>
      </c>
      <c r="B15" s="237">
        <v>11.5</v>
      </c>
      <c r="C15" s="71">
        <v>24</v>
      </c>
      <c r="D15" s="72">
        <v>37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/>
      <c r="B16" s="237"/>
      <c r="C16" s="71"/>
      <c r="D16" s="91"/>
      <c r="E16" s="87"/>
      <c r="F16" s="12"/>
      <c r="G16" s="12"/>
      <c r="H16" s="74">
        <f t="shared" si="2"/>
        <v>0</v>
      </c>
      <c r="I16" s="75">
        <f t="shared" si="3"/>
        <v>0</v>
      </c>
    </row>
    <row r="17" spans="1:18" s="80" customFormat="1" ht="18" customHeight="1" x14ac:dyDescent="0.15">
      <c r="A17" s="362"/>
      <c r="B17" s="237"/>
      <c r="C17" s="71"/>
      <c r="D17" s="91"/>
      <c r="E17" s="73"/>
      <c r="F17" s="12"/>
      <c r="G17" s="12"/>
      <c r="H17" s="74">
        <f t="shared" si="2"/>
        <v>0</v>
      </c>
      <c r="I17" s="75">
        <f t="shared" si="3"/>
        <v>0</v>
      </c>
      <c r="O17" s="85"/>
      <c r="P17" s="85"/>
      <c r="Q17" s="85"/>
      <c r="R17" s="86"/>
    </row>
    <row r="18" spans="1:18" s="80" customFormat="1" ht="18" customHeight="1" x14ac:dyDescent="0.15">
      <c r="A18" s="362"/>
      <c r="B18" s="237"/>
      <c r="C18" s="71"/>
      <c r="D18" s="91"/>
      <c r="E18" s="73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72"/>
      <c r="D19" s="91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8" s="56" customFormat="1" ht="18" customHeight="1" x14ac:dyDescent="0.15">
      <c r="A22" s="362"/>
      <c r="B22" s="237"/>
      <c r="C22" s="12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91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149"/>
      <c r="B26" s="237"/>
      <c r="C26" s="72"/>
      <c r="D26" s="72"/>
      <c r="E26" s="87"/>
      <c r="F26" s="71"/>
      <c r="G26" s="71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149"/>
      <c r="B27" s="237"/>
      <c r="C27" s="9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8" ht="24" customHeight="1" thickBot="1" x14ac:dyDescent="0.2">
      <c r="A28" s="1"/>
      <c r="B28" s="3"/>
      <c r="C28" s="105"/>
      <c r="D28" s="106">
        <f>SUM(D4:D27)</f>
        <v>389</v>
      </c>
      <c r="E28" s="105"/>
      <c r="F28" s="3"/>
      <c r="G28" s="107">
        <f>SUM(G4:G27)</f>
        <v>39</v>
      </c>
      <c r="H28" s="107">
        <f>SUM(H4:H27)</f>
        <v>6200000</v>
      </c>
      <c r="I28" s="108"/>
    </row>
  </sheetData>
  <sheetProtection selectLockedCells="1" selectUnlockedCells="1"/>
  <sortState ref="A4:C24">
    <sortCondition descending="1" ref="C4:C24"/>
    <sortCondition ref="B4:B24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89" firstPageNumber="0" orientation="landscape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pageSetUpPr fitToPage="1"/>
  </sheetPr>
  <dimension ref="A1:P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6" customFormat="1" ht="43.5" customHeight="1" x14ac:dyDescent="0.15">
      <c r="B1" s="440" t="s">
        <v>200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6" s="56" customFormat="1" ht="29.25" customHeight="1" x14ac:dyDescent="0.15">
      <c r="B2" s="449" t="s">
        <v>276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6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6" s="80" customFormat="1" ht="18" customHeight="1" x14ac:dyDescent="0.15">
      <c r="A4" s="362" t="s">
        <v>38</v>
      </c>
      <c r="B4" s="237">
        <v>15.7</v>
      </c>
      <c r="C4" s="12">
        <v>37</v>
      </c>
      <c r="D4" s="91">
        <v>31</v>
      </c>
      <c r="E4" s="87"/>
      <c r="F4" s="71">
        <v>1</v>
      </c>
      <c r="G4" s="71">
        <v>10</v>
      </c>
      <c r="H4" s="74">
        <f>N4+I4</f>
        <v>1550000</v>
      </c>
      <c r="I4" s="75">
        <f t="shared" ref="I4:I11" si="0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6" s="80" customFormat="1" ht="18" customHeight="1" x14ac:dyDescent="0.15">
      <c r="A5" s="362" t="s">
        <v>52</v>
      </c>
      <c r="B5" s="237">
        <v>12.2</v>
      </c>
      <c r="C5" s="71">
        <v>33</v>
      </c>
      <c r="D5" s="91">
        <v>35</v>
      </c>
      <c r="E5" s="73">
        <v>14.1</v>
      </c>
      <c r="F5" s="71">
        <v>2</v>
      </c>
      <c r="G5" s="71">
        <v>8</v>
      </c>
      <c r="H5" s="74">
        <v>1350000</v>
      </c>
      <c r="I5" s="75">
        <f t="shared" si="0"/>
        <v>410000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6" s="80" customFormat="1" ht="18" customHeight="1" x14ac:dyDescent="0.15">
      <c r="A6" s="362" t="s">
        <v>24</v>
      </c>
      <c r="B6" s="237">
        <v>12.9</v>
      </c>
      <c r="C6" s="71">
        <v>32</v>
      </c>
      <c r="D6" s="91">
        <v>31</v>
      </c>
      <c r="E6" s="87"/>
      <c r="F6" s="71">
        <v>3</v>
      </c>
      <c r="G6" s="12">
        <v>6</v>
      </c>
      <c r="H6" s="74">
        <f t="shared" ref="H6:H11" si="1">N6+I6</f>
        <v>950000</v>
      </c>
      <c r="I6" s="75">
        <f t="shared" si="0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6" s="80" customFormat="1" ht="18" customHeight="1" x14ac:dyDescent="0.15">
      <c r="A7" s="362" t="s">
        <v>18</v>
      </c>
      <c r="B7" s="237">
        <v>13.4</v>
      </c>
      <c r="C7" s="91">
        <v>32</v>
      </c>
      <c r="D7" s="91">
        <v>30</v>
      </c>
      <c r="E7" s="73"/>
      <c r="F7" s="71">
        <v>4</v>
      </c>
      <c r="G7" s="71">
        <v>5</v>
      </c>
      <c r="H7" s="74">
        <f t="shared" si="1"/>
        <v>770000</v>
      </c>
      <c r="I7" s="75">
        <f t="shared" si="0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6"/>
    </row>
    <row r="8" spans="1:16" s="80" customFormat="1" ht="18" customHeight="1" x14ac:dyDescent="0.15">
      <c r="A8" s="362" t="s">
        <v>34</v>
      </c>
      <c r="B8" s="237">
        <v>12.6</v>
      </c>
      <c r="C8" s="72">
        <v>31</v>
      </c>
      <c r="D8" s="91">
        <v>31</v>
      </c>
      <c r="E8" s="73"/>
      <c r="F8" s="71">
        <v>5</v>
      </c>
      <c r="G8" s="71">
        <v>4</v>
      </c>
      <c r="H8" s="74">
        <f t="shared" si="1"/>
        <v>650000</v>
      </c>
      <c r="I8" s="75">
        <f t="shared" si="0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6" s="80" customFormat="1" ht="18" customHeight="1" x14ac:dyDescent="0.15">
      <c r="A9" s="362" t="s">
        <v>42</v>
      </c>
      <c r="B9" s="237">
        <v>17.2</v>
      </c>
      <c r="C9" s="71">
        <v>31</v>
      </c>
      <c r="D9" s="91">
        <v>38</v>
      </c>
      <c r="E9" s="87"/>
      <c r="F9" s="71">
        <v>6</v>
      </c>
      <c r="G9" s="88">
        <v>3</v>
      </c>
      <c r="H9" s="74">
        <f t="shared" si="1"/>
        <v>530000</v>
      </c>
      <c r="I9" s="75">
        <f t="shared" si="0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6" s="80" customFormat="1" ht="18" customHeight="1" x14ac:dyDescent="0.15">
      <c r="A10" s="362" t="s">
        <v>12</v>
      </c>
      <c r="B10" s="237">
        <v>15.1</v>
      </c>
      <c r="C10" s="71">
        <v>30</v>
      </c>
      <c r="D10" s="91">
        <v>34</v>
      </c>
      <c r="E10" s="73">
        <v>3.82</v>
      </c>
      <c r="F10" s="71">
        <v>7</v>
      </c>
      <c r="G10" s="71">
        <v>2</v>
      </c>
      <c r="H10" s="74">
        <f t="shared" si="1"/>
        <v>770000</v>
      </c>
      <c r="I10" s="75">
        <f t="shared" si="0"/>
        <v>410000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6" s="80" customFormat="1" ht="18" customHeight="1" x14ac:dyDescent="0.15">
      <c r="A11" s="362" t="s">
        <v>30</v>
      </c>
      <c r="B11" s="237">
        <v>11.2</v>
      </c>
      <c r="C11" s="71">
        <v>29</v>
      </c>
      <c r="D11" s="91">
        <v>36</v>
      </c>
      <c r="E11" s="87"/>
      <c r="F11" s="71">
        <v>8</v>
      </c>
      <c r="G11" s="71">
        <v>1</v>
      </c>
      <c r="H11" s="74">
        <f t="shared" si="1"/>
        <v>290000</v>
      </c>
      <c r="I11" s="75">
        <f t="shared" si="0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6" s="80" customFormat="1" ht="18" customHeight="1" x14ac:dyDescent="0.15">
      <c r="A12" s="362" t="s">
        <v>16</v>
      </c>
      <c r="B12" s="237">
        <v>19.7</v>
      </c>
      <c r="C12" s="71">
        <v>29</v>
      </c>
      <c r="D12" s="72">
        <v>36</v>
      </c>
      <c r="E12" s="73">
        <v>4.26</v>
      </c>
      <c r="F12" s="71"/>
      <c r="G12" s="71"/>
      <c r="H12" s="74">
        <v>150000</v>
      </c>
      <c r="I12" s="75">
        <f t="shared" ref="I12:I28" si="2">IF(E12&gt;0,$N$13,0)+IF(C12&gt;0,50000,0)+IF(C12&lt;0,50000,0)</f>
        <v>410000</v>
      </c>
      <c r="J12" s="89" t="s">
        <v>94</v>
      </c>
      <c r="K12" s="82"/>
      <c r="L12" s="83"/>
      <c r="M12" s="84"/>
      <c r="N12" s="90">
        <v>6000000</v>
      </c>
    </row>
    <row r="13" spans="1:16" s="80" customFormat="1" ht="18" customHeight="1" x14ac:dyDescent="0.15">
      <c r="A13" s="362" t="s">
        <v>40</v>
      </c>
      <c r="B13" s="237">
        <v>22.7</v>
      </c>
      <c r="C13" s="71">
        <v>27</v>
      </c>
      <c r="D13" s="72">
        <v>37</v>
      </c>
      <c r="E13" s="87"/>
      <c r="F13" s="71"/>
      <c r="G13" s="71"/>
      <c r="H13" s="74">
        <f t="shared" ref="H13:H28" si="3">I13</f>
        <v>50000</v>
      </c>
      <c r="I13" s="75">
        <f t="shared" si="2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6" s="80" customFormat="1" ht="18" customHeight="1" x14ac:dyDescent="0.15">
      <c r="A14" s="362" t="s">
        <v>28</v>
      </c>
      <c r="B14" s="237">
        <v>11.5</v>
      </c>
      <c r="C14" s="72">
        <v>25</v>
      </c>
      <c r="D14" s="91">
        <v>36</v>
      </c>
      <c r="E14" s="87"/>
      <c r="F14" s="71"/>
      <c r="G14" s="71"/>
      <c r="H14" s="74">
        <f t="shared" si="3"/>
        <v>50000</v>
      </c>
      <c r="I14" s="75">
        <f t="shared" si="2"/>
        <v>50000</v>
      </c>
      <c r="J14" s="97"/>
      <c r="K14" s="93"/>
      <c r="L14" s="93"/>
      <c r="M14" s="98"/>
      <c r="N14" s="99"/>
    </row>
    <row r="15" spans="1:16" s="80" customFormat="1" ht="18" customHeight="1" x14ac:dyDescent="0.15">
      <c r="A15" s="362" t="s">
        <v>22</v>
      </c>
      <c r="B15" s="237">
        <v>13.4</v>
      </c>
      <c r="C15" s="71">
        <v>21</v>
      </c>
      <c r="D15" s="91">
        <v>36</v>
      </c>
      <c r="E15" s="73"/>
      <c r="F15" s="71"/>
      <c r="G15" s="71"/>
      <c r="H15" s="74">
        <f t="shared" si="3"/>
        <v>50000</v>
      </c>
      <c r="I15" s="75">
        <f t="shared" si="2"/>
        <v>50000</v>
      </c>
      <c r="J15" s="100"/>
      <c r="K15" s="101"/>
      <c r="L15" s="101"/>
      <c r="M15" s="102"/>
      <c r="N15" s="103"/>
    </row>
    <row r="16" spans="1:16" s="80" customFormat="1" ht="18" customHeight="1" x14ac:dyDescent="0.15">
      <c r="A16" s="362" t="s">
        <v>46</v>
      </c>
      <c r="B16" s="237">
        <v>23</v>
      </c>
      <c r="C16" s="71">
        <v>17</v>
      </c>
      <c r="D16" s="91">
        <v>46</v>
      </c>
      <c r="E16" s="73"/>
      <c r="F16" s="12"/>
      <c r="G16" s="12"/>
      <c r="H16" s="74">
        <f t="shared" si="3"/>
        <v>50000</v>
      </c>
      <c r="I16" s="75">
        <f t="shared" si="2"/>
        <v>50000</v>
      </c>
    </row>
    <row r="17" spans="1:16" s="80" customFormat="1" ht="18" customHeight="1" x14ac:dyDescent="0.15">
      <c r="A17" s="362"/>
      <c r="B17" s="237"/>
      <c r="C17" s="72"/>
      <c r="D17" s="91"/>
      <c r="E17" s="73"/>
      <c r="F17" s="12"/>
      <c r="G17" s="12"/>
      <c r="H17" s="74">
        <f t="shared" si="3"/>
        <v>0</v>
      </c>
      <c r="I17" s="75">
        <f t="shared" si="2"/>
        <v>0</v>
      </c>
      <c r="O17" s="85"/>
      <c r="P17" s="86"/>
    </row>
    <row r="18" spans="1:16" s="80" customFormat="1" ht="18" customHeight="1" x14ac:dyDescent="0.15">
      <c r="A18" s="362"/>
      <c r="B18" s="237"/>
      <c r="C18" s="71"/>
      <c r="D18" s="72"/>
      <c r="E18" s="73"/>
      <c r="F18" s="71"/>
      <c r="G18" s="71"/>
      <c r="H18" s="74">
        <f t="shared" si="3"/>
        <v>0</v>
      </c>
      <c r="I18" s="75">
        <f t="shared" si="2"/>
        <v>0</v>
      </c>
      <c r="J18" s="86"/>
      <c r="K18" s="86"/>
      <c r="L18" s="86"/>
    </row>
    <row r="19" spans="1:16" s="80" customFormat="1" ht="18" customHeight="1" x14ac:dyDescent="0.15">
      <c r="A19" s="362"/>
      <c r="B19" s="237"/>
      <c r="C19" s="71"/>
      <c r="D19" s="91"/>
      <c r="E19" s="73"/>
      <c r="F19" s="71"/>
      <c r="G19" s="71"/>
      <c r="H19" s="74">
        <f t="shared" si="3"/>
        <v>0</v>
      </c>
      <c r="I19" s="75">
        <f t="shared" si="2"/>
        <v>0</v>
      </c>
      <c r="J19" s="86"/>
      <c r="K19" s="86"/>
      <c r="L19" s="86"/>
    </row>
    <row r="20" spans="1:16" s="56" customFormat="1" ht="18" customHeight="1" x14ac:dyDescent="0.15">
      <c r="A20" s="362"/>
      <c r="B20" s="237"/>
      <c r="C20" s="72"/>
      <c r="D20" s="91"/>
      <c r="E20" s="73"/>
      <c r="F20" s="12"/>
      <c r="G20" s="12"/>
      <c r="H20" s="74">
        <f t="shared" si="3"/>
        <v>0</v>
      </c>
      <c r="I20" s="75">
        <f t="shared" si="2"/>
        <v>0</v>
      </c>
    </row>
    <row r="21" spans="1:16" s="56" customFormat="1" ht="18" customHeight="1" x14ac:dyDescent="0.15">
      <c r="A21" s="362"/>
      <c r="B21" s="237"/>
      <c r="C21" s="71"/>
      <c r="D21" s="91"/>
      <c r="E21" s="73"/>
      <c r="F21" s="12"/>
      <c r="G21" s="12"/>
      <c r="H21" s="74">
        <f t="shared" si="3"/>
        <v>0</v>
      </c>
      <c r="I21" s="75">
        <f t="shared" si="2"/>
        <v>0</v>
      </c>
    </row>
    <row r="22" spans="1:16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3"/>
        <v>0</v>
      </c>
      <c r="I22" s="75">
        <f t="shared" si="2"/>
        <v>0</v>
      </c>
    </row>
    <row r="23" spans="1:16" s="56" customFormat="1" ht="18" customHeight="1" x14ac:dyDescent="0.15">
      <c r="A23" s="362"/>
      <c r="B23" s="237"/>
      <c r="C23" s="71"/>
      <c r="D23" s="91"/>
      <c r="E23" s="73"/>
      <c r="F23" s="12"/>
      <c r="G23" s="12"/>
      <c r="H23" s="74">
        <f t="shared" si="3"/>
        <v>0</v>
      </c>
      <c r="I23" s="75">
        <f t="shared" si="2"/>
        <v>0</v>
      </c>
    </row>
    <row r="24" spans="1:16" s="56" customFormat="1" ht="18" customHeight="1" x14ac:dyDescent="0.15">
      <c r="A24" s="362"/>
      <c r="B24" s="237"/>
      <c r="C24" s="72"/>
      <c r="D24" s="91"/>
      <c r="E24" s="73"/>
      <c r="F24" s="12"/>
      <c r="G24" s="12"/>
      <c r="H24" s="74">
        <f t="shared" si="3"/>
        <v>0</v>
      </c>
      <c r="I24" s="75">
        <f t="shared" si="2"/>
        <v>0</v>
      </c>
    </row>
    <row r="25" spans="1:16" s="56" customFormat="1" ht="18" customHeight="1" x14ac:dyDescent="0.15">
      <c r="A25" s="362"/>
      <c r="B25" s="237"/>
      <c r="C25" s="71"/>
      <c r="D25" s="91"/>
      <c r="E25" s="73"/>
      <c r="F25" s="12"/>
      <c r="G25" s="12"/>
      <c r="H25" s="74">
        <f>I25</f>
        <v>0</v>
      </c>
      <c r="I25" s="75">
        <f t="shared" si="2"/>
        <v>0</v>
      </c>
    </row>
    <row r="26" spans="1:16" s="56" customFormat="1" ht="18" customHeight="1" x14ac:dyDescent="0.15">
      <c r="A26" s="362"/>
      <c r="B26" s="237"/>
      <c r="C26" s="72"/>
      <c r="D26" s="91"/>
      <c r="E26" s="87"/>
      <c r="F26" s="12"/>
      <c r="G26" s="12"/>
      <c r="H26" s="74">
        <f t="shared" si="3"/>
        <v>0</v>
      </c>
      <c r="I26" s="75">
        <f t="shared" si="2"/>
        <v>0</v>
      </c>
    </row>
    <row r="27" spans="1:16" s="56" customFormat="1" ht="18" customHeight="1" x14ac:dyDescent="0.15">
      <c r="A27" s="362"/>
      <c r="B27" s="237"/>
      <c r="C27" s="72"/>
      <c r="D27" s="91"/>
      <c r="E27" s="87"/>
      <c r="F27" s="71"/>
      <c r="G27" s="71"/>
      <c r="H27" s="74">
        <f t="shared" si="3"/>
        <v>0</v>
      </c>
      <c r="I27" s="75">
        <f t="shared" si="2"/>
        <v>0</v>
      </c>
    </row>
    <row r="28" spans="1:16" s="56" customFormat="1" ht="18" customHeight="1" x14ac:dyDescent="0.15">
      <c r="A28" s="149"/>
      <c r="B28" s="181"/>
      <c r="C28" s="71"/>
      <c r="D28" s="72"/>
      <c r="E28" s="73"/>
      <c r="F28" s="71"/>
      <c r="G28" s="71"/>
      <c r="H28" s="74">
        <f t="shared" si="3"/>
        <v>0</v>
      </c>
      <c r="I28" s="75">
        <f t="shared" si="2"/>
        <v>0</v>
      </c>
    </row>
    <row r="29" spans="1:16" ht="18" customHeight="1" x14ac:dyDescent="0.15">
      <c r="A29" s="1"/>
      <c r="B29" s="3"/>
      <c r="C29" s="105"/>
      <c r="D29" s="106">
        <f>SUM(D4:D28)</f>
        <v>457</v>
      </c>
      <c r="E29" s="105"/>
      <c r="F29" s="3"/>
      <c r="G29" s="107">
        <f>SUM(G4:G28)</f>
        <v>39</v>
      </c>
      <c r="H29" s="107">
        <f>SUM(H4:H28)</f>
        <v>7210000</v>
      </c>
      <c r="I29" s="108"/>
    </row>
  </sheetData>
  <sheetProtection selectLockedCells="1" selectUnlockedCells="1"/>
  <sortState ref="A4:D16">
    <sortCondition descending="1" ref="C4:C16"/>
    <sortCondition ref="B4:B16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150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273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13.5</v>
      </c>
      <c r="C4" s="71">
        <v>38</v>
      </c>
      <c r="D4" s="72">
        <v>33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147</v>
      </c>
      <c r="B5" s="237">
        <v>11.3</v>
      </c>
      <c r="C5" s="71">
        <v>33</v>
      </c>
      <c r="D5" s="72">
        <v>32</v>
      </c>
      <c r="E5" s="73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28</v>
      </c>
      <c r="B6" s="237">
        <v>11.4</v>
      </c>
      <c r="C6" s="12">
        <v>31</v>
      </c>
      <c r="D6" s="72">
        <v>34</v>
      </c>
      <c r="E6" s="87">
        <v>2.33</v>
      </c>
      <c r="F6" s="12">
        <v>3</v>
      </c>
      <c r="G6" s="12">
        <v>6</v>
      </c>
      <c r="H6" s="74">
        <f t="shared" si="0"/>
        <v>1310000</v>
      </c>
      <c r="I6" s="75">
        <f t="shared" si="1"/>
        <v>410000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44</v>
      </c>
      <c r="B7" s="237">
        <v>16</v>
      </c>
      <c r="C7" s="71">
        <v>31</v>
      </c>
      <c r="D7" s="91">
        <v>34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42</v>
      </c>
      <c r="B8" s="237">
        <v>17.100000000000001</v>
      </c>
      <c r="C8" s="71">
        <v>31</v>
      </c>
      <c r="D8" s="91">
        <v>38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18</v>
      </c>
      <c r="B9" s="237">
        <v>13.5</v>
      </c>
      <c r="C9" s="71">
        <v>30</v>
      </c>
      <c r="D9" s="72">
        <v>30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38</v>
      </c>
      <c r="B10" s="237">
        <v>15.6</v>
      </c>
      <c r="C10" s="72">
        <v>30</v>
      </c>
      <c r="D10" s="91">
        <v>35</v>
      </c>
      <c r="E10" s="87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12</v>
      </c>
      <c r="B11" s="237">
        <v>15</v>
      </c>
      <c r="C11" s="72">
        <v>29</v>
      </c>
      <c r="D11" s="72">
        <v>35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48</v>
      </c>
      <c r="B12" s="237">
        <v>9.4</v>
      </c>
      <c r="C12" s="71">
        <v>28</v>
      </c>
      <c r="D12" s="72">
        <v>29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30</v>
      </c>
      <c r="B13" s="237">
        <v>11.1</v>
      </c>
      <c r="C13" s="91">
        <v>28</v>
      </c>
      <c r="D13" s="72">
        <v>37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14</v>
      </c>
      <c r="B14" s="237">
        <v>12.5</v>
      </c>
      <c r="C14" s="71">
        <v>28</v>
      </c>
      <c r="D14" s="91">
        <v>35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22</v>
      </c>
      <c r="B15" s="237">
        <v>13.3</v>
      </c>
      <c r="C15" s="72">
        <v>28</v>
      </c>
      <c r="D15" s="72">
        <v>37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10</v>
      </c>
      <c r="B16" s="237">
        <v>14.2</v>
      </c>
      <c r="C16" s="71">
        <v>28</v>
      </c>
      <c r="D16" s="91">
        <v>36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3" s="80" customFormat="1" ht="18" customHeight="1" x14ac:dyDescent="0.15">
      <c r="A17" s="362" t="s">
        <v>40</v>
      </c>
      <c r="B17" s="237">
        <v>22.6</v>
      </c>
      <c r="C17" s="71">
        <v>28</v>
      </c>
      <c r="D17" s="91">
        <v>40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J17" s="85"/>
      <c r="K17" s="85"/>
      <c r="L17" s="85"/>
      <c r="M17" s="86"/>
    </row>
    <row r="18" spans="1:13" s="80" customFormat="1" ht="18" customHeight="1" x14ac:dyDescent="0.15">
      <c r="A18" s="362" t="s">
        <v>52</v>
      </c>
      <c r="B18" s="237">
        <v>12.1</v>
      </c>
      <c r="C18" s="71">
        <v>24</v>
      </c>
      <c r="D18" s="72">
        <v>37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3" s="80" customFormat="1" ht="18" customHeight="1" x14ac:dyDescent="0.15">
      <c r="A19" s="362" t="s">
        <v>20</v>
      </c>
      <c r="B19" s="237">
        <v>17.899999999999999</v>
      </c>
      <c r="C19" s="71">
        <v>24</v>
      </c>
      <c r="D19" s="72">
        <v>35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</row>
    <row r="20" spans="1:13" s="56" customFormat="1" ht="18" customHeight="1" x14ac:dyDescent="0.15">
      <c r="A20" s="362" t="s">
        <v>46</v>
      </c>
      <c r="B20" s="237">
        <v>22.9</v>
      </c>
      <c r="C20" s="71">
        <v>24</v>
      </c>
      <c r="D20" s="72">
        <v>42</v>
      </c>
      <c r="E20" s="87"/>
      <c r="F20" s="12"/>
      <c r="G20" s="12"/>
      <c r="H20" s="74">
        <f t="shared" si="2"/>
        <v>50000</v>
      </c>
      <c r="I20" s="75">
        <f t="shared" si="3"/>
        <v>50000</v>
      </c>
    </row>
    <row r="21" spans="1:13" s="56" customFormat="1" ht="18" customHeight="1" x14ac:dyDescent="0.15">
      <c r="A21" s="362"/>
      <c r="B21" s="237"/>
      <c r="C21" s="72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3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3" s="56" customFormat="1" ht="18" customHeight="1" x14ac:dyDescent="0.15">
      <c r="A24" s="362"/>
      <c r="B24" s="237"/>
      <c r="C24" s="72"/>
      <c r="D24" s="72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1"/>
      <c r="D25" s="91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3" s="56" customFormat="1" ht="18" customHeight="1" x14ac:dyDescent="0.15">
      <c r="A26" s="362"/>
      <c r="B26" s="237"/>
      <c r="C26" s="71"/>
      <c r="D26" s="91"/>
      <c r="E26" s="87"/>
      <c r="F26" s="12"/>
      <c r="G26" s="12"/>
      <c r="H26" s="74">
        <f>I26</f>
        <v>0</v>
      </c>
      <c r="I26" s="75"/>
    </row>
    <row r="27" spans="1:13" s="56" customFormat="1" ht="18" customHeight="1" x14ac:dyDescent="0.15">
      <c r="A27" s="362"/>
      <c r="B27" s="237"/>
      <c r="C27" s="71"/>
      <c r="D27" s="91"/>
      <c r="E27" s="87"/>
      <c r="F27" s="71"/>
      <c r="G27" s="71"/>
      <c r="H27" s="74">
        <f t="shared" si="2"/>
        <v>0</v>
      </c>
      <c r="I27" s="75">
        <f t="shared" si="3"/>
        <v>0</v>
      </c>
    </row>
    <row r="28" spans="1:13" s="56" customFormat="1" ht="18" customHeight="1" x14ac:dyDescent="0.15">
      <c r="A28" s="362"/>
      <c r="B28" s="237"/>
      <c r="C28" s="71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</row>
    <row r="29" spans="1:13" ht="24" customHeight="1" x14ac:dyDescent="0.15">
      <c r="A29" s="1"/>
      <c r="B29" s="3"/>
      <c r="C29" s="105"/>
      <c r="D29" s="106">
        <f>SUM(D4:D28)</f>
        <v>599</v>
      </c>
      <c r="E29" s="105"/>
      <c r="F29" s="3"/>
      <c r="G29" s="107">
        <f>SUM(G4:G28)</f>
        <v>39</v>
      </c>
      <c r="H29" s="107">
        <f>SUM(H4:H28)</f>
        <v>7210000</v>
      </c>
      <c r="I29" s="108"/>
    </row>
  </sheetData>
  <sheetProtection selectLockedCells="1" selectUnlockedCells="1"/>
  <sortState ref="A4:D20">
    <sortCondition descending="1" ref="C4:C20"/>
    <sortCondition ref="B4:B20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3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210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269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294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10</v>
      </c>
      <c r="B4" s="237">
        <v>14.2</v>
      </c>
      <c r="C4" s="282">
        <v>103</v>
      </c>
      <c r="D4" s="292"/>
      <c r="E4" s="73"/>
      <c r="F4" s="453">
        <v>1</v>
      </c>
      <c r="G4" s="71">
        <v>10</v>
      </c>
      <c r="H4" s="74">
        <v>1130000</v>
      </c>
      <c r="I4" s="75">
        <f>IF(E4&gt;0,#REF!,0)+IF(C4&gt;0,50000,0)+IF(C13&lt;0,50000,0)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12</v>
      </c>
      <c r="B5" s="237">
        <v>14.9</v>
      </c>
      <c r="C5" s="282">
        <v>103</v>
      </c>
      <c r="D5" s="293"/>
      <c r="E5" s="73"/>
      <c r="F5" s="451"/>
      <c r="G5" s="71">
        <v>10</v>
      </c>
      <c r="H5" s="74">
        <v>1130000</v>
      </c>
      <c r="I5" s="75">
        <f>IF(E5&gt;0,#REF!,0)+IF(C6&gt;0,50000,0)+IF(C14&lt;0,50000,0)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42</v>
      </c>
      <c r="B6" s="237">
        <v>17.100000000000001</v>
      </c>
      <c r="C6" s="282">
        <v>103</v>
      </c>
      <c r="D6" s="293"/>
      <c r="E6" s="87"/>
      <c r="F6" s="451"/>
      <c r="G6" s="71">
        <v>10</v>
      </c>
      <c r="H6" s="74">
        <v>1130000</v>
      </c>
      <c r="I6" s="75">
        <f>IF(E6&gt;0,#REF!,0)+IF(C7&gt;0,50000,0)+IF(C15&lt;0,50000,0)</f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16</v>
      </c>
      <c r="B7" s="237">
        <v>19.7</v>
      </c>
      <c r="C7" s="282">
        <v>103</v>
      </c>
      <c r="D7" s="293"/>
      <c r="E7" s="73"/>
      <c r="F7" s="454"/>
      <c r="G7" s="71">
        <v>10</v>
      </c>
      <c r="H7" s="74">
        <v>1130000</v>
      </c>
      <c r="I7" s="75">
        <f>IF(E7&gt;0,#REF!,0)+IF(C8&gt;0,50000,0)+IF(C16&lt;0,50000,0)</f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147</v>
      </c>
      <c r="B8" s="237">
        <v>11.2</v>
      </c>
      <c r="C8" s="282">
        <v>102</v>
      </c>
      <c r="D8" s="293"/>
      <c r="E8" s="73">
        <v>3.15</v>
      </c>
      <c r="F8" s="450">
        <v>2</v>
      </c>
      <c r="G8" s="71">
        <v>5</v>
      </c>
      <c r="H8" s="74">
        <v>830000</v>
      </c>
      <c r="I8" s="75"/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14</v>
      </c>
      <c r="B9" s="237">
        <v>12.5</v>
      </c>
      <c r="C9" s="282">
        <v>102</v>
      </c>
      <c r="D9" s="292"/>
      <c r="E9" s="87"/>
      <c r="F9" s="451"/>
      <c r="G9" s="71">
        <v>5</v>
      </c>
      <c r="H9" s="74">
        <v>470000</v>
      </c>
      <c r="I9" s="75">
        <f>IF(E9&gt;0,#REF!,0)+IF(C10&gt;0,50000,0)+IF(C18&lt;0,50000,0)</f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18</v>
      </c>
      <c r="B10" s="237">
        <v>13.3</v>
      </c>
      <c r="C10" s="282">
        <v>102</v>
      </c>
      <c r="D10" s="292"/>
      <c r="E10" s="87"/>
      <c r="F10" s="451"/>
      <c r="G10" s="71">
        <v>5</v>
      </c>
      <c r="H10" s="74">
        <v>470000</v>
      </c>
      <c r="I10" s="75">
        <f>IF(E10&gt;0,#REF!,0)+IF(C11&gt;0,50000,0)+IF(C19&lt;0,50000,0)</f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50</v>
      </c>
      <c r="B11" s="237">
        <v>25.4</v>
      </c>
      <c r="C11" s="282">
        <v>102</v>
      </c>
      <c r="D11" s="293"/>
      <c r="E11" s="73"/>
      <c r="F11" s="452"/>
      <c r="G11" s="71">
        <v>5</v>
      </c>
      <c r="H11" s="74">
        <v>470000</v>
      </c>
      <c r="I11" s="75">
        <f>IF(E11&gt;0,#REF!,0)+IF(C12&gt;0,50000,0)+IF(C20&lt;0,50000,0)</f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52</v>
      </c>
      <c r="B12" s="237">
        <v>12.1</v>
      </c>
      <c r="C12" s="284">
        <v>98</v>
      </c>
      <c r="D12" s="292"/>
      <c r="E12" s="73"/>
      <c r="F12" s="453">
        <v>3</v>
      </c>
      <c r="G12" s="71"/>
      <c r="H12" s="74">
        <f>I12</f>
        <v>50000</v>
      </c>
      <c r="I12" s="75">
        <f>IF(E12&gt;0,#REF!,0)+IF(C12&gt;0,50000,0)+IF(C12&lt;0,50000,0)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32</v>
      </c>
      <c r="B13" s="237">
        <v>13.8</v>
      </c>
      <c r="C13" s="282">
        <v>98</v>
      </c>
      <c r="D13" s="292"/>
      <c r="E13" s="73"/>
      <c r="F13" s="451"/>
      <c r="G13" s="71"/>
      <c r="H13" s="74">
        <f t="shared" ref="H13:H27" si="0">I13</f>
        <v>50000</v>
      </c>
      <c r="I13" s="75">
        <f>IF(E13&gt;0,#REF!,0)+IF(C13&gt;0,50000,0)+IF(C13&lt;0,50000,0)</f>
        <v>50000</v>
      </c>
      <c r="J13" s="111" t="s">
        <v>95</v>
      </c>
      <c r="K13" s="11"/>
      <c r="L13" s="11"/>
      <c r="M13" s="12">
        <v>1</v>
      </c>
      <c r="N13" s="74">
        <f>N10</f>
        <v>360000</v>
      </c>
    </row>
    <row r="14" spans="1:18" s="80" customFormat="1" ht="18" customHeight="1" x14ac:dyDescent="0.15">
      <c r="A14" s="362" t="s">
        <v>46</v>
      </c>
      <c r="B14" s="237">
        <v>22.9</v>
      </c>
      <c r="C14" s="282">
        <v>98</v>
      </c>
      <c r="D14" s="293"/>
      <c r="E14" s="73"/>
      <c r="F14" s="451"/>
      <c r="G14" s="71"/>
      <c r="H14" s="74">
        <f t="shared" si="0"/>
        <v>50000</v>
      </c>
      <c r="I14" s="75">
        <f>IF(E14&gt;0,#REF!,0)+IF(C14&gt;0,50000,0)+IF(C14&lt;0,50000,0)</f>
        <v>50000</v>
      </c>
    </row>
    <row r="15" spans="1:18" s="80" customFormat="1" ht="18" customHeight="1" x14ac:dyDescent="0.15">
      <c r="A15" s="362" t="s">
        <v>271</v>
      </c>
      <c r="B15" s="237" t="s">
        <v>99</v>
      </c>
      <c r="C15" s="282">
        <v>98</v>
      </c>
      <c r="D15" s="292"/>
      <c r="E15" s="73"/>
      <c r="F15" s="454"/>
      <c r="G15" s="71"/>
      <c r="H15" s="74" t="s">
        <v>99</v>
      </c>
      <c r="I15" s="75">
        <f>IF(E15&gt;0,#REF!,0)+IF(C15&gt;0,50000,0)+IF(C15&lt;0,50000,0)</f>
        <v>50000</v>
      </c>
    </row>
    <row r="16" spans="1:18" s="80" customFormat="1" ht="18" customHeight="1" x14ac:dyDescent="0.15">
      <c r="A16" s="362" t="s">
        <v>30</v>
      </c>
      <c r="B16" s="237">
        <v>11.1</v>
      </c>
      <c r="C16" s="282">
        <v>95</v>
      </c>
      <c r="D16" s="292"/>
      <c r="E16" s="87"/>
      <c r="F16" s="450">
        <v>4</v>
      </c>
      <c r="G16" s="12"/>
      <c r="H16" s="74">
        <f t="shared" si="0"/>
        <v>50000</v>
      </c>
      <c r="I16" s="75">
        <f>IF(E16&gt;0,#REF!,0)+IF(C16&gt;0,50000,0)+IF(C16&lt;0,50000,0)</f>
        <v>50000</v>
      </c>
    </row>
    <row r="17" spans="1:14" s="80" customFormat="1" ht="18" customHeight="1" x14ac:dyDescent="0.15">
      <c r="A17" s="362" t="s">
        <v>24</v>
      </c>
      <c r="B17" s="237">
        <v>12.8</v>
      </c>
      <c r="C17" s="284">
        <v>95</v>
      </c>
      <c r="D17" s="292"/>
      <c r="E17" s="73"/>
      <c r="F17" s="451"/>
      <c r="G17" s="12"/>
      <c r="H17" s="74">
        <f t="shared" si="0"/>
        <v>50000</v>
      </c>
      <c r="I17" s="75">
        <f>IF(E17&gt;0,#REF!,0)+IF(C17&gt;0,50000,0)+IF(C17&lt;0,50000,0)</f>
        <v>50000</v>
      </c>
      <c r="J17" s="85"/>
      <c r="K17" s="85"/>
      <c r="L17" s="85"/>
      <c r="M17" s="86"/>
    </row>
    <row r="18" spans="1:14" s="80" customFormat="1" ht="18" customHeight="1" x14ac:dyDescent="0.15">
      <c r="A18" s="362" t="s">
        <v>40</v>
      </c>
      <c r="B18" s="237">
        <v>22.6</v>
      </c>
      <c r="C18" s="282">
        <v>95</v>
      </c>
      <c r="D18" s="293"/>
      <c r="E18" s="73"/>
      <c r="F18" s="451"/>
      <c r="G18" s="71"/>
      <c r="H18" s="74">
        <f t="shared" si="0"/>
        <v>50000</v>
      </c>
      <c r="I18" s="75">
        <f>IF(E18&gt;0,#REF!,0)+IF(C18&gt;0,50000,0)+IF(C18&lt;0,50000,0)</f>
        <v>50000</v>
      </c>
      <c r="J18" s="12" t="s">
        <v>100</v>
      </c>
      <c r="K18" s="12" t="s">
        <v>83</v>
      </c>
      <c r="L18" s="12"/>
      <c r="M18" s="12" t="s">
        <v>101</v>
      </c>
      <c r="N18" s="12"/>
    </row>
    <row r="19" spans="1:14" s="80" customFormat="1" ht="18" customHeight="1" x14ac:dyDescent="0.15">
      <c r="A19" s="362" t="s">
        <v>272</v>
      </c>
      <c r="B19" s="237" t="s">
        <v>99</v>
      </c>
      <c r="C19" s="282">
        <v>95</v>
      </c>
      <c r="D19" s="292"/>
      <c r="E19" s="87"/>
      <c r="F19" s="452"/>
      <c r="G19" s="71"/>
      <c r="H19" s="74" t="s">
        <v>99</v>
      </c>
      <c r="I19" s="75">
        <f>IF(E19&gt;0,#REF!,0)+IF(C19&gt;0,50000,0)+IF(C19&lt;0,50000,0)</f>
        <v>50000</v>
      </c>
      <c r="J19" s="12">
        <v>1</v>
      </c>
      <c r="K19" s="12" t="s">
        <v>102</v>
      </c>
      <c r="L19" s="12">
        <v>10</v>
      </c>
      <c r="M19" s="74" t="s">
        <v>102</v>
      </c>
      <c r="N19" s="74">
        <f>N12*0.2</f>
        <v>1200000</v>
      </c>
    </row>
    <row r="20" spans="1:14" s="56" customFormat="1" ht="18" customHeight="1" x14ac:dyDescent="0.15">
      <c r="A20" s="362" t="s">
        <v>28</v>
      </c>
      <c r="B20" s="237">
        <v>11.4</v>
      </c>
      <c r="C20" s="156">
        <v>91</v>
      </c>
      <c r="D20" s="292"/>
      <c r="E20" s="87"/>
      <c r="F20" s="453">
        <v>5</v>
      </c>
      <c r="G20" s="12"/>
      <c r="H20" s="74">
        <f t="shared" si="0"/>
        <v>50000</v>
      </c>
      <c r="I20" s="75">
        <f>IF(E20&gt;0,#REF!,0)+IF(C20&gt;0,50000,0)+IF(C20&lt;0,50000,0)</f>
        <v>50000</v>
      </c>
      <c r="J20" s="12">
        <v>2</v>
      </c>
      <c r="K20" s="12" t="s">
        <v>102</v>
      </c>
      <c r="L20" s="12">
        <v>6</v>
      </c>
      <c r="M20" s="74" t="s">
        <v>102</v>
      </c>
      <c r="N20" s="74">
        <f>N12*0.15</f>
        <v>900000</v>
      </c>
    </row>
    <row r="21" spans="1:14" s="56" customFormat="1" ht="18" customHeight="1" x14ac:dyDescent="0.15">
      <c r="A21" s="362" t="s">
        <v>38</v>
      </c>
      <c r="B21" s="237">
        <v>15.4</v>
      </c>
      <c r="C21" s="284">
        <v>91</v>
      </c>
      <c r="D21" s="292"/>
      <c r="E21" s="73"/>
      <c r="F21" s="451"/>
      <c r="G21" s="12"/>
      <c r="H21" s="74">
        <f t="shared" si="0"/>
        <v>50000</v>
      </c>
      <c r="I21" s="75">
        <f>IF(E21&gt;0,#REF!,0)+IF(C21&gt;0,50000,0)+IF(C21&lt;0,50000,0)</f>
        <v>50000</v>
      </c>
      <c r="J21" s="12">
        <v>3</v>
      </c>
      <c r="K21" s="12" t="s">
        <v>102</v>
      </c>
      <c r="L21" s="12">
        <v>4</v>
      </c>
      <c r="M21" s="74" t="s">
        <v>102</v>
      </c>
      <c r="N21" s="74">
        <f>N12*0.1</f>
        <v>600000</v>
      </c>
    </row>
    <row r="22" spans="1:14" s="56" customFormat="1" ht="18" customHeight="1" x14ac:dyDescent="0.15">
      <c r="A22" s="362" t="s">
        <v>26</v>
      </c>
      <c r="B22" s="237">
        <v>24.4</v>
      </c>
      <c r="C22" s="282">
        <v>91</v>
      </c>
      <c r="D22" s="292"/>
      <c r="E22" s="73"/>
      <c r="F22" s="451"/>
      <c r="G22" s="12"/>
      <c r="H22" s="74">
        <f t="shared" si="0"/>
        <v>50000</v>
      </c>
      <c r="I22" s="75">
        <f>IF(E22&gt;0,#REF!,0)+IF(C22&gt;0,50000,0)+IF(C22&lt;0,50000,0)</f>
        <v>50000</v>
      </c>
      <c r="J22" s="12">
        <v>4</v>
      </c>
      <c r="K22" s="12" t="s">
        <v>102</v>
      </c>
      <c r="L22" s="12">
        <v>2</v>
      </c>
      <c r="M22" s="74" t="s">
        <v>102</v>
      </c>
      <c r="N22" s="74">
        <f>N12*0.05</f>
        <v>300000</v>
      </c>
    </row>
    <row r="23" spans="1:14" s="56" customFormat="1" ht="18" customHeight="1" x14ac:dyDescent="0.15">
      <c r="A23" s="362" t="s">
        <v>270</v>
      </c>
      <c r="B23" s="237" t="s">
        <v>99</v>
      </c>
      <c r="C23" s="283">
        <v>91</v>
      </c>
      <c r="D23" s="292"/>
      <c r="E23" s="73"/>
      <c r="F23" s="454"/>
      <c r="G23" s="12"/>
      <c r="H23" s="74" t="s">
        <v>99</v>
      </c>
      <c r="I23" s="75">
        <f>IF(E23&gt;0,#REF!,0)+IF(C23&gt;0,50000,0)+IF(C23&lt;0,50000,0)</f>
        <v>50000</v>
      </c>
      <c r="L23" s="112"/>
      <c r="M23" s="113"/>
      <c r="N23" s="113"/>
    </row>
    <row r="24" spans="1:14" s="56" customFormat="1" ht="18" customHeight="1" x14ac:dyDescent="0.15">
      <c r="A24" s="362"/>
      <c r="B24" s="237"/>
      <c r="C24" s="283"/>
      <c r="D24" s="292"/>
      <c r="E24" s="87"/>
      <c r="F24" s="12"/>
      <c r="G24" s="12"/>
      <c r="H24" s="74">
        <f t="shared" si="0"/>
        <v>0</v>
      </c>
      <c r="I24" s="75">
        <f>IF(E24&gt;0,#REF!,0)+IF(C24&gt;0,50000,0)+IF(C24&lt;0,50000,0)</f>
        <v>0</v>
      </c>
      <c r="L24" s="112"/>
      <c r="M24" s="113"/>
      <c r="N24" s="113"/>
    </row>
    <row r="25" spans="1:14" s="56" customFormat="1" ht="18" customHeight="1" x14ac:dyDescent="0.15">
      <c r="A25" s="362"/>
      <c r="B25" s="237"/>
      <c r="C25" s="282"/>
      <c r="D25" s="292"/>
      <c r="E25" s="87"/>
      <c r="F25" s="12"/>
      <c r="G25" s="12"/>
      <c r="H25" s="74">
        <f t="shared" si="0"/>
        <v>0</v>
      </c>
      <c r="I25" s="75">
        <f>IF(E25&gt;0,#REF!,0)+IF(C25&gt;0,50000,0)+IF(C25&lt;0,50000,0)</f>
        <v>0</v>
      </c>
      <c r="L25" s="112"/>
      <c r="M25" s="113"/>
      <c r="N25" s="113"/>
    </row>
    <row r="26" spans="1:14" s="56" customFormat="1" ht="18" customHeight="1" x14ac:dyDescent="0.15">
      <c r="A26" s="362"/>
      <c r="B26" s="237"/>
      <c r="C26" s="282"/>
      <c r="D26" s="292"/>
      <c r="E26" s="87"/>
      <c r="F26" s="12"/>
      <c r="G26" s="12"/>
      <c r="H26" s="74">
        <f t="shared" si="0"/>
        <v>0</v>
      </c>
      <c r="I26" s="75">
        <f>IF(E26&gt;0,#REF!,0)+IF(C26&gt;0,50000,0)+IF(C26&lt;0,50000,0)</f>
        <v>0</v>
      </c>
      <c r="J26" s="12" t="s">
        <v>103</v>
      </c>
      <c r="K26" s="12" t="s">
        <v>83</v>
      </c>
      <c r="L26" s="12"/>
      <c r="M26" s="74" t="s">
        <v>101</v>
      </c>
      <c r="N26" s="74"/>
    </row>
    <row r="27" spans="1:14" s="56" customFormat="1" ht="18" customHeight="1" x14ac:dyDescent="0.15">
      <c r="A27" s="362"/>
      <c r="B27" s="237"/>
      <c r="C27" s="282"/>
      <c r="D27" s="293"/>
      <c r="E27" s="73"/>
      <c r="F27" s="71"/>
      <c r="G27" s="71"/>
      <c r="H27" s="74">
        <f t="shared" si="0"/>
        <v>0</v>
      </c>
      <c r="I27" s="75">
        <f>IF(E27&gt;0,#REF!,0)+IF(C27&gt;0,50000,0)+IF(C27&lt;0,50000,0)</f>
        <v>0</v>
      </c>
      <c r="J27" s="12">
        <v>1</v>
      </c>
      <c r="K27" s="12" t="s">
        <v>104</v>
      </c>
      <c r="L27" s="12">
        <v>10</v>
      </c>
      <c r="M27" s="74" t="s">
        <v>104</v>
      </c>
      <c r="N27" s="74">
        <f>(N4+N5+N6+N7)/4</f>
        <v>1080000</v>
      </c>
    </row>
    <row r="28" spans="1:14" s="56" customFormat="1" ht="18" customHeight="1" x14ac:dyDescent="0.15">
      <c r="A28" s="149"/>
      <c r="B28" s="237"/>
      <c r="C28" s="283"/>
      <c r="D28" s="292"/>
      <c r="E28" s="73"/>
      <c r="F28" s="71"/>
      <c r="G28" s="71"/>
      <c r="H28" s="74">
        <f>I28</f>
        <v>0</v>
      </c>
      <c r="I28" s="75">
        <f>IF(E28&gt;0,#REF!,0)+IF(C28&gt;0,50000,0)+IF(C28&lt;0,50000,0)</f>
        <v>0</v>
      </c>
      <c r="J28" s="12">
        <v>2</v>
      </c>
      <c r="K28" s="12" t="s">
        <v>104</v>
      </c>
      <c r="L28" s="12">
        <v>5</v>
      </c>
      <c r="M28" s="74" t="s">
        <v>104</v>
      </c>
      <c r="N28" s="74">
        <f>AVERAGE(N8:N11)</f>
        <v>420000</v>
      </c>
    </row>
    <row r="29" spans="1:14" ht="19" customHeight="1" x14ac:dyDescent="0.15">
      <c r="A29" s="1"/>
      <c r="B29" s="3"/>
      <c r="C29" s="105"/>
      <c r="D29" s="106">
        <f>SUM(D4:D28)</f>
        <v>0</v>
      </c>
      <c r="E29" s="105"/>
      <c r="F29" s="3"/>
      <c r="G29" s="107">
        <f>SUM(G4:G28)</f>
        <v>60</v>
      </c>
      <c r="H29" s="107">
        <f>SUM(H4:H28)</f>
        <v>7210000</v>
      </c>
      <c r="I29" s="108"/>
    </row>
  </sheetData>
  <sheetProtection selectLockedCells="1" selectUnlockedCells="1"/>
  <sortState ref="A16:C19">
    <sortCondition descending="1" ref="C16:C19"/>
    <sortCondition ref="B16:B19"/>
  </sortState>
  <mergeCells count="7">
    <mergeCell ref="F16:F19"/>
    <mergeCell ref="F20:F23"/>
    <mergeCell ref="B1:N1"/>
    <mergeCell ref="B2:N2"/>
    <mergeCell ref="F4:F7"/>
    <mergeCell ref="F8:F11"/>
    <mergeCell ref="F12:F15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141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265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36</v>
      </c>
      <c r="B4" s="237">
        <v>18.2</v>
      </c>
      <c r="C4" s="71">
        <v>35</v>
      </c>
      <c r="D4" s="72">
        <v>30</v>
      </c>
      <c r="E4" s="87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34</v>
      </c>
      <c r="B5" s="237">
        <v>13.4</v>
      </c>
      <c r="C5" s="71">
        <v>33</v>
      </c>
      <c r="D5" s="72">
        <v>35</v>
      </c>
      <c r="E5" s="73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44</v>
      </c>
      <c r="B6" s="237">
        <v>16</v>
      </c>
      <c r="C6" s="71">
        <v>33</v>
      </c>
      <c r="D6" s="91">
        <v>34</v>
      </c>
      <c r="E6" s="87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40</v>
      </c>
      <c r="B7" s="237">
        <v>22.6</v>
      </c>
      <c r="C7" s="71">
        <v>32</v>
      </c>
      <c r="D7" s="72">
        <v>38</v>
      </c>
      <c r="E7" s="87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48</v>
      </c>
      <c r="B8" s="237">
        <v>9.1</v>
      </c>
      <c r="C8" s="71">
        <v>31</v>
      </c>
      <c r="D8" s="72">
        <v>35</v>
      </c>
      <c r="E8" s="73">
        <v>1.67</v>
      </c>
      <c r="F8" s="71">
        <v>5</v>
      </c>
      <c r="G8" s="71">
        <v>4</v>
      </c>
      <c r="H8" s="74">
        <f t="shared" si="0"/>
        <v>1010000</v>
      </c>
      <c r="I8" s="75">
        <f t="shared" si="1"/>
        <v>410000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42</v>
      </c>
      <c r="B9" s="237">
        <v>17</v>
      </c>
      <c r="C9" s="71">
        <v>30</v>
      </c>
      <c r="D9" s="72">
        <v>33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14</v>
      </c>
      <c r="B10" s="237">
        <v>12.4</v>
      </c>
      <c r="C10" s="12">
        <v>28</v>
      </c>
      <c r="D10" s="72">
        <v>32</v>
      </c>
      <c r="E10" s="87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10</v>
      </c>
      <c r="B11" s="237">
        <v>14.1</v>
      </c>
      <c r="C11" s="12">
        <v>28</v>
      </c>
      <c r="D11" s="91">
        <v>39</v>
      </c>
      <c r="E11" s="87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8</v>
      </c>
      <c r="B12" s="237">
        <v>21.4</v>
      </c>
      <c r="C12" s="12">
        <v>28</v>
      </c>
      <c r="D12" s="72">
        <v>38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50</v>
      </c>
      <c r="B13" s="237">
        <v>25.3</v>
      </c>
      <c r="C13" s="71">
        <v>28</v>
      </c>
      <c r="D13" s="91">
        <v>36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/>
      <c r="N13" s="96">
        <f>N10</f>
        <v>360000</v>
      </c>
    </row>
    <row r="14" spans="1:18" s="80" customFormat="1" ht="18" customHeight="1" x14ac:dyDescent="0.15">
      <c r="A14" s="362" t="s">
        <v>38</v>
      </c>
      <c r="B14" s="237">
        <v>15.3</v>
      </c>
      <c r="C14" s="71">
        <v>27</v>
      </c>
      <c r="D14" s="91">
        <v>38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30</v>
      </c>
      <c r="B15" s="237">
        <v>11</v>
      </c>
      <c r="C15" s="72">
        <v>26</v>
      </c>
      <c r="D15" s="91">
        <v>38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26</v>
      </c>
      <c r="B16" s="237">
        <v>24.3</v>
      </c>
      <c r="C16" s="71">
        <v>26</v>
      </c>
      <c r="D16" s="72">
        <v>40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28</v>
      </c>
      <c r="B17" s="237">
        <v>11.3</v>
      </c>
      <c r="C17" s="71">
        <v>25</v>
      </c>
      <c r="D17" s="72">
        <v>35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32</v>
      </c>
      <c r="B18" s="237">
        <v>13.7</v>
      </c>
      <c r="C18" s="72">
        <v>25</v>
      </c>
      <c r="D18" s="91">
        <v>40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102"/>
      <c r="K18" s="102"/>
      <c r="L18" s="102"/>
      <c r="M18" s="102"/>
      <c r="N18" s="102"/>
    </row>
    <row r="19" spans="1:18" s="80" customFormat="1" ht="18" customHeight="1" x14ac:dyDescent="0.15">
      <c r="A19" s="362" t="s">
        <v>22</v>
      </c>
      <c r="B19" s="237">
        <v>13.2</v>
      </c>
      <c r="C19" s="71">
        <v>24</v>
      </c>
      <c r="D19" s="72">
        <v>38</v>
      </c>
      <c r="E19" s="87"/>
      <c r="F19" s="71"/>
      <c r="G19" s="71"/>
      <c r="H19" s="74">
        <f t="shared" si="2"/>
        <v>50000</v>
      </c>
      <c r="I19" s="75">
        <f t="shared" si="3"/>
        <v>50000</v>
      </c>
      <c r="J19" s="102"/>
      <c r="K19" s="102"/>
      <c r="L19" s="102"/>
      <c r="M19" s="103"/>
      <c r="N19" s="103"/>
    </row>
    <row r="20" spans="1:18" s="56" customFormat="1" ht="18" customHeight="1" x14ac:dyDescent="0.15">
      <c r="A20" s="362" t="s">
        <v>20</v>
      </c>
      <c r="B20" s="237">
        <v>17.7</v>
      </c>
      <c r="C20" s="72">
        <v>24</v>
      </c>
      <c r="D20" s="72">
        <v>38</v>
      </c>
      <c r="E20" s="73"/>
      <c r="F20" s="12"/>
      <c r="G20" s="12"/>
      <c r="H20" s="74">
        <f t="shared" si="2"/>
        <v>50000</v>
      </c>
      <c r="I20" s="75">
        <f t="shared" si="3"/>
        <v>50000</v>
      </c>
      <c r="J20" s="102"/>
      <c r="K20" s="102"/>
      <c r="L20" s="102"/>
      <c r="M20" s="103"/>
      <c r="N20" s="103"/>
    </row>
    <row r="21" spans="1:18" s="56" customFormat="1" ht="18" customHeight="1" x14ac:dyDescent="0.15">
      <c r="A21" s="362" t="s">
        <v>46</v>
      </c>
      <c r="B21" s="237">
        <v>22.8</v>
      </c>
      <c r="C21" s="71">
        <v>24</v>
      </c>
      <c r="D21" s="72">
        <v>40</v>
      </c>
      <c r="E21" s="73"/>
      <c r="F21" s="12"/>
      <c r="G21" s="12"/>
      <c r="H21" s="74">
        <f t="shared" si="2"/>
        <v>50000</v>
      </c>
      <c r="I21" s="75">
        <f t="shared" si="3"/>
        <v>50000</v>
      </c>
      <c r="J21" s="102"/>
      <c r="K21" s="102"/>
      <c r="L21" s="102"/>
      <c r="M21" s="103"/>
      <c r="N21" s="103"/>
    </row>
    <row r="22" spans="1:18" s="56" customFormat="1" ht="18" customHeight="1" x14ac:dyDescent="0.15">
      <c r="A22" s="362" t="s">
        <v>18</v>
      </c>
      <c r="B22" s="237">
        <v>13.2</v>
      </c>
      <c r="C22" s="91">
        <v>22</v>
      </c>
      <c r="D22" s="72">
        <v>37</v>
      </c>
      <c r="E22" s="87"/>
      <c r="F22" s="12"/>
      <c r="G22" s="12"/>
      <c r="H22" s="74">
        <f t="shared" si="2"/>
        <v>50000</v>
      </c>
      <c r="I22" s="75">
        <f t="shared" si="3"/>
        <v>50000</v>
      </c>
      <c r="J22" s="102"/>
      <c r="K22" s="102"/>
      <c r="L22" s="102"/>
      <c r="M22" s="103"/>
      <c r="N22" s="103"/>
    </row>
    <row r="23" spans="1:18" s="56" customFormat="1" ht="18" customHeight="1" x14ac:dyDescent="0.15">
      <c r="A23" s="362" t="s">
        <v>24</v>
      </c>
      <c r="B23" s="237">
        <v>12.6</v>
      </c>
      <c r="C23" s="72">
        <v>20</v>
      </c>
      <c r="D23" s="72">
        <v>39</v>
      </c>
      <c r="E23" s="73"/>
      <c r="F23" s="12"/>
      <c r="G23" s="12"/>
      <c r="H23" s="74">
        <f t="shared" si="2"/>
        <v>50000</v>
      </c>
      <c r="I23" s="75">
        <f t="shared" si="3"/>
        <v>50000</v>
      </c>
      <c r="J23" s="199"/>
      <c r="K23" s="199"/>
      <c r="L23" s="200"/>
      <c r="M23" s="201"/>
      <c r="N23" s="201"/>
    </row>
    <row r="24" spans="1:18" s="56" customFormat="1" ht="18" customHeight="1" x14ac:dyDescent="0.15">
      <c r="A24" s="362"/>
      <c r="B24" s="237"/>
      <c r="C24" s="12"/>
      <c r="D24" s="72"/>
      <c r="E24" s="73"/>
      <c r="F24" s="12"/>
      <c r="G24" s="12"/>
      <c r="H24" s="74">
        <f t="shared" si="2"/>
        <v>0</v>
      </c>
      <c r="I24" s="75">
        <f t="shared" si="3"/>
        <v>0</v>
      </c>
      <c r="J24" s="199"/>
      <c r="K24" s="199"/>
      <c r="L24" s="200"/>
      <c r="M24" s="201"/>
      <c r="N24" s="201"/>
    </row>
    <row r="25" spans="1:18" s="56" customFormat="1" ht="18" customHeight="1" x14ac:dyDescent="0.15">
      <c r="A25" s="362"/>
      <c r="B25" s="237"/>
      <c r="C25" s="71"/>
      <c r="D25" s="91"/>
      <c r="E25" s="73"/>
      <c r="F25" s="12"/>
      <c r="G25" s="12"/>
      <c r="H25" s="74">
        <f t="shared" si="2"/>
        <v>0</v>
      </c>
      <c r="I25" s="75">
        <f t="shared" si="3"/>
        <v>0</v>
      </c>
      <c r="J25" s="102"/>
      <c r="K25" s="102"/>
      <c r="L25" s="102"/>
      <c r="M25" s="103"/>
      <c r="N25" s="103"/>
    </row>
    <row r="26" spans="1:18" s="56" customFormat="1" ht="18" customHeight="1" x14ac:dyDescent="0.15">
      <c r="A26" s="362"/>
      <c r="B26" s="237"/>
      <c r="C26" s="72"/>
      <c r="D26" s="91"/>
      <c r="E26" s="73"/>
      <c r="F26" s="71"/>
      <c r="G26" s="71"/>
      <c r="H26" s="74">
        <f t="shared" si="2"/>
        <v>0</v>
      </c>
      <c r="I26" s="75">
        <f t="shared" si="3"/>
        <v>0</v>
      </c>
      <c r="J26" s="102"/>
      <c r="K26" s="102"/>
      <c r="L26" s="102"/>
      <c r="M26" s="103"/>
      <c r="N26" s="103"/>
    </row>
    <row r="27" spans="1:18" s="56" customFormat="1" ht="18" customHeight="1" x14ac:dyDescent="0.15">
      <c r="A27" s="362"/>
      <c r="B27" s="237"/>
      <c r="C27" s="72"/>
      <c r="D27" s="91"/>
      <c r="E27" s="73"/>
      <c r="F27" s="71"/>
      <c r="G27" s="71"/>
      <c r="H27" s="74">
        <f t="shared" ref="H27" si="4">I27</f>
        <v>0</v>
      </c>
      <c r="I27" s="75">
        <f t="shared" ref="I27" si="5">IF(E27&gt;0,$N$13,0)+IF(C27&gt;0,50000,0)+IF(C27&lt;0,50000,0)</f>
        <v>0</v>
      </c>
      <c r="J27" s="102"/>
      <c r="K27" s="102"/>
      <c r="L27" s="102"/>
      <c r="M27" s="103"/>
      <c r="N27" s="103"/>
    </row>
    <row r="28" spans="1:18" s="56" customFormat="1" ht="18" customHeight="1" x14ac:dyDescent="0.15">
      <c r="A28" s="362"/>
      <c r="B28" s="237"/>
      <c r="C28" s="72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  <c r="J28" s="102"/>
      <c r="K28" s="102"/>
      <c r="L28" s="102"/>
      <c r="M28" s="103"/>
      <c r="N28" s="103"/>
    </row>
    <row r="29" spans="1:18" ht="24" customHeight="1" x14ac:dyDescent="0.15">
      <c r="A29" s="1"/>
      <c r="B29" s="3"/>
      <c r="C29" s="105"/>
      <c r="D29" s="106">
        <f>SUM(D4:D28)</f>
        <v>733</v>
      </c>
      <c r="E29" s="105"/>
      <c r="F29" s="3"/>
      <c r="G29" s="107">
        <f>SUM(G4:G28)</f>
        <v>39</v>
      </c>
      <c r="H29" s="107">
        <f>SUM(H4:H28)</f>
        <v>7360000</v>
      </c>
      <c r="I29" s="108"/>
    </row>
  </sheetData>
  <sheetProtection selectLockedCells="1" selectUnlockedCells="1"/>
  <sortState ref="A4:C23">
    <sortCondition descending="1" ref="C4:C23"/>
    <sortCondition ref="B4:B23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198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261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105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8</v>
      </c>
      <c r="B4" s="237">
        <v>21.4</v>
      </c>
      <c r="C4" s="71">
        <v>62</v>
      </c>
      <c r="D4" s="72">
        <v>33</v>
      </c>
      <c r="E4" s="87"/>
      <c r="F4" s="71">
        <v>1</v>
      </c>
      <c r="G4" s="71">
        <v>10</v>
      </c>
      <c r="H4" s="74">
        <f t="shared" ref="H4:H11" si="0">N4+I4</f>
        <v>2050000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2000000</v>
      </c>
    </row>
    <row r="5" spans="1:18" s="80" customFormat="1" ht="18" customHeight="1" x14ac:dyDescent="0.15">
      <c r="A5" s="362" t="s">
        <v>46</v>
      </c>
      <c r="B5" s="237">
        <v>23.2</v>
      </c>
      <c r="C5" s="71">
        <v>64</v>
      </c>
      <c r="D5" s="91">
        <v>32</v>
      </c>
      <c r="E5" s="87"/>
      <c r="F5" s="71">
        <v>2</v>
      </c>
      <c r="G5" s="71">
        <v>8</v>
      </c>
      <c r="H5" s="74">
        <f t="shared" si="0"/>
        <v>1650000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1600000</v>
      </c>
    </row>
    <row r="6" spans="1:18" s="80" customFormat="1" ht="18" customHeight="1" x14ac:dyDescent="0.15">
      <c r="A6" s="362" t="s">
        <v>48</v>
      </c>
      <c r="B6" s="237">
        <v>9.1</v>
      </c>
      <c r="C6" s="72">
        <v>66</v>
      </c>
      <c r="D6" s="91">
        <v>29</v>
      </c>
      <c r="E6" s="73"/>
      <c r="F6" s="12">
        <v>3</v>
      </c>
      <c r="G6" s="12">
        <v>6</v>
      </c>
      <c r="H6" s="74">
        <f t="shared" si="0"/>
        <v>1250000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1200000</v>
      </c>
    </row>
    <row r="7" spans="1:18" s="80" customFormat="1" ht="18" customHeight="1" x14ac:dyDescent="0.15">
      <c r="A7" s="362" t="s">
        <v>28</v>
      </c>
      <c r="B7" s="237">
        <v>11.6</v>
      </c>
      <c r="C7" s="72">
        <v>66</v>
      </c>
      <c r="D7" s="91">
        <v>26</v>
      </c>
      <c r="E7" s="73"/>
      <c r="F7" s="71">
        <v>4</v>
      </c>
      <c r="G7" s="71">
        <v>5</v>
      </c>
      <c r="H7" s="74">
        <f t="shared" si="0"/>
        <v>1010000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960000</v>
      </c>
      <c r="O7" s="85"/>
      <c r="P7" s="85"/>
      <c r="Q7" s="85"/>
      <c r="R7" s="86"/>
    </row>
    <row r="8" spans="1:18" s="80" customFormat="1" ht="18" customHeight="1" x14ac:dyDescent="0.15">
      <c r="A8" s="362" t="s">
        <v>18</v>
      </c>
      <c r="B8" s="237">
        <v>13.2</v>
      </c>
      <c r="C8" s="72">
        <v>66</v>
      </c>
      <c r="D8" s="72">
        <v>28</v>
      </c>
      <c r="E8" s="73"/>
      <c r="F8" s="71">
        <v>5</v>
      </c>
      <c r="G8" s="71">
        <v>4</v>
      </c>
      <c r="H8" s="74">
        <f t="shared" si="0"/>
        <v>850000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800000</v>
      </c>
    </row>
    <row r="9" spans="1:18" s="80" customFormat="1" ht="18" customHeight="1" x14ac:dyDescent="0.15">
      <c r="A9" s="362" t="s">
        <v>12</v>
      </c>
      <c r="B9" s="237">
        <v>14.8</v>
      </c>
      <c r="C9" s="71">
        <v>66</v>
      </c>
      <c r="D9" s="72">
        <v>29</v>
      </c>
      <c r="E9" s="87"/>
      <c r="F9" s="88">
        <v>6</v>
      </c>
      <c r="G9" s="88">
        <v>3</v>
      </c>
      <c r="H9" s="74">
        <f t="shared" si="0"/>
        <v>690000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640000</v>
      </c>
    </row>
    <row r="10" spans="1:18" s="80" customFormat="1" ht="18" customHeight="1" x14ac:dyDescent="0.15">
      <c r="A10" s="362" t="s">
        <v>16</v>
      </c>
      <c r="B10" s="237">
        <v>20.9</v>
      </c>
      <c r="C10" s="71">
        <v>66</v>
      </c>
      <c r="D10" s="72">
        <v>28</v>
      </c>
      <c r="E10" s="73"/>
      <c r="F10" s="71">
        <v>7</v>
      </c>
      <c r="G10" s="71">
        <v>2</v>
      </c>
      <c r="H10" s="74">
        <f t="shared" si="0"/>
        <v>530000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480000</v>
      </c>
    </row>
    <row r="11" spans="1:18" s="80" customFormat="1" ht="18" customHeight="1" x14ac:dyDescent="0.15">
      <c r="A11" s="362" t="s">
        <v>30</v>
      </c>
      <c r="B11" s="237">
        <v>11</v>
      </c>
      <c r="C11" s="71">
        <v>67</v>
      </c>
      <c r="D11" s="72">
        <v>30</v>
      </c>
      <c r="E11" s="87">
        <v>10.59</v>
      </c>
      <c r="F11" s="71">
        <v>8</v>
      </c>
      <c r="G11" s="71">
        <v>1</v>
      </c>
      <c r="H11" s="74">
        <f t="shared" si="0"/>
        <v>850000</v>
      </c>
      <c r="I11" s="75">
        <f t="shared" si="1"/>
        <v>530000</v>
      </c>
      <c r="J11" s="81" t="s">
        <v>93</v>
      </c>
      <c r="K11" s="82"/>
      <c r="L11" s="83"/>
      <c r="M11" s="84">
        <v>1</v>
      </c>
      <c r="N11" s="74">
        <f>N12*4%</f>
        <v>320000</v>
      </c>
    </row>
    <row r="12" spans="1:18" s="80" customFormat="1" ht="18" customHeight="1" x14ac:dyDescent="0.15">
      <c r="A12" s="362" t="s">
        <v>34</v>
      </c>
      <c r="B12" s="237">
        <v>13.4</v>
      </c>
      <c r="C12" s="71">
        <v>69</v>
      </c>
      <c r="D12" s="72">
        <v>32</v>
      </c>
      <c r="E12" s="87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8000000</v>
      </c>
    </row>
    <row r="13" spans="1:18" s="80" customFormat="1" ht="18" customHeight="1" x14ac:dyDescent="0.15">
      <c r="A13" s="362" t="s">
        <v>10</v>
      </c>
      <c r="B13" s="237">
        <v>14.1</v>
      </c>
      <c r="C13" s="71">
        <v>69</v>
      </c>
      <c r="D13" s="72">
        <v>32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480000</v>
      </c>
    </row>
    <row r="14" spans="1:18" s="80" customFormat="1" ht="18" customHeight="1" x14ac:dyDescent="0.15">
      <c r="A14" s="362" t="s">
        <v>36</v>
      </c>
      <c r="B14" s="237">
        <v>18.100000000000001</v>
      </c>
      <c r="C14" s="12">
        <v>69</v>
      </c>
      <c r="D14" s="91">
        <v>33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38</v>
      </c>
      <c r="B15" s="237">
        <v>15.2</v>
      </c>
      <c r="C15" s="72">
        <v>71</v>
      </c>
      <c r="D15" s="72">
        <v>31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40</v>
      </c>
      <c r="B16" s="237">
        <v>22.6</v>
      </c>
      <c r="C16" s="71">
        <v>71</v>
      </c>
      <c r="D16" s="72">
        <v>31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14</v>
      </c>
      <c r="B17" s="237">
        <v>12.3</v>
      </c>
      <c r="C17" s="72">
        <v>72</v>
      </c>
      <c r="D17" s="72">
        <v>29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42</v>
      </c>
      <c r="B18" s="237">
        <v>16.899999999999999</v>
      </c>
      <c r="C18" s="71">
        <v>73</v>
      </c>
      <c r="D18" s="72">
        <v>31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8" s="80" customFormat="1" ht="18" customHeight="1" x14ac:dyDescent="0.15">
      <c r="A19" s="362" t="s">
        <v>22</v>
      </c>
      <c r="B19" s="237">
        <v>13.1</v>
      </c>
      <c r="C19" s="71">
        <v>74</v>
      </c>
      <c r="D19" s="72">
        <v>32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91"/>
      <c r="D20" s="72"/>
      <c r="E20" s="87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362"/>
      <c r="B21" s="237"/>
      <c r="C21" s="71"/>
      <c r="D21" s="91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8" s="56" customFormat="1" ht="18" customHeight="1" x14ac:dyDescent="0.15">
      <c r="A22" s="362"/>
      <c r="B22" s="237"/>
      <c r="C22" s="71"/>
      <c r="D22" s="91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2"/>
      <c r="D23" s="91"/>
      <c r="E23" s="87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12"/>
      <c r="D24" s="72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>I25</f>
        <v>0</v>
      </c>
      <c r="I25" s="75">
        <f>IF(E25&gt;0,$N$13,0)+IF(C25&gt;0,50000,0)+IF(C25&lt;0,50000,0)</f>
        <v>0</v>
      </c>
    </row>
    <row r="26" spans="1:18" s="56" customFormat="1" ht="18" customHeight="1" x14ac:dyDescent="0.15">
      <c r="A26" s="362"/>
      <c r="B26" s="237"/>
      <c r="C26" s="71"/>
      <c r="D26" s="91"/>
      <c r="E26" s="73"/>
      <c r="F26" s="12"/>
      <c r="G26" s="12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8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486</v>
      </c>
      <c r="E29" s="105"/>
      <c r="F29" s="3"/>
      <c r="G29" s="107">
        <f>SUM(G4:G28)</f>
        <v>39</v>
      </c>
      <c r="H29" s="107">
        <f>SUM(H4:H28)</f>
        <v>9280000</v>
      </c>
      <c r="I29" s="108"/>
    </row>
  </sheetData>
  <sheetProtection selectLockedCells="1" selectUnlockedCells="1"/>
  <sortState ref="A4:C25">
    <sortCondition ref="C4:C25"/>
    <sortCondition ref="B4:B25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197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256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83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18</v>
      </c>
      <c r="B4" s="237">
        <v>14.4</v>
      </c>
      <c r="C4" s="71">
        <v>40</v>
      </c>
      <c r="D4" s="72">
        <v>29</v>
      </c>
      <c r="E4" s="73"/>
      <c r="F4" s="71">
        <v>1</v>
      </c>
      <c r="G4" s="71">
        <v>10</v>
      </c>
      <c r="H4" s="74">
        <f>I4+N4</f>
        <v>1550000</v>
      </c>
      <c r="I4" s="75">
        <f t="shared" ref="I4:I11" si="0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30</v>
      </c>
      <c r="B5" s="237">
        <v>11.2</v>
      </c>
      <c r="C5" s="72">
        <v>37</v>
      </c>
      <c r="D5" s="91">
        <v>27</v>
      </c>
      <c r="E5" s="87"/>
      <c r="F5" s="71">
        <v>2</v>
      </c>
      <c r="G5" s="71">
        <v>8</v>
      </c>
      <c r="H5" s="74">
        <f>I5+N5</f>
        <v>1250000</v>
      </c>
      <c r="I5" s="75">
        <f t="shared" si="0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42</v>
      </c>
      <c r="B6" s="237">
        <v>17.2</v>
      </c>
      <c r="C6" s="71">
        <v>37</v>
      </c>
      <c r="D6" s="72">
        <v>32</v>
      </c>
      <c r="E6" s="87">
        <v>5.89</v>
      </c>
      <c r="F6" s="12">
        <v>3</v>
      </c>
      <c r="G6" s="12">
        <v>6</v>
      </c>
      <c r="H6" s="74">
        <v>1050000</v>
      </c>
      <c r="I6" s="75">
        <f t="shared" si="0"/>
        <v>410000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28</v>
      </c>
      <c r="B7" s="237">
        <v>11.6</v>
      </c>
      <c r="C7" s="71">
        <v>33</v>
      </c>
      <c r="D7" s="91">
        <v>33</v>
      </c>
      <c r="E7" s="73"/>
      <c r="F7" s="71">
        <v>4</v>
      </c>
      <c r="G7" s="71">
        <v>5</v>
      </c>
      <c r="H7" s="74">
        <f t="shared" ref="H7:H11" si="1">I7+N7</f>
        <v>770000</v>
      </c>
      <c r="I7" s="75">
        <f t="shared" si="0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147</v>
      </c>
      <c r="B8" s="237">
        <v>11.2</v>
      </c>
      <c r="C8" s="71">
        <v>31</v>
      </c>
      <c r="D8" s="72">
        <v>37</v>
      </c>
      <c r="E8" s="73">
        <v>7.44</v>
      </c>
      <c r="F8" s="71">
        <v>5</v>
      </c>
      <c r="G8" s="71">
        <v>4</v>
      </c>
      <c r="H8" s="74">
        <v>750000</v>
      </c>
      <c r="I8" s="75">
        <f t="shared" si="0"/>
        <v>410000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36</v>
      </c>
      <c r="B9" s="237">
        <v>17.899999999999999</v>
      </c>
      <c r="C9" s="71">
        <v>31</v>
      </c>
      <c r="D9" s="91">
        <v>34</v>
      </c>
      <c r="E9" s="73">
        <v>3.3</v>
      </c>
      <c r="F9" s="88">
        <v>6</v>
      </c>
      <c r="G9" s="88">
        <v>3</v>
      </c>
      <c r="H9" s="74">
        <v>630000</v>
      </c>
      <c r="I9" s="75">
        <f t="shared" si="0"/>
        <v>410000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26</v>
      </c>
      <c r="B10" s="237">
        <v>24.1</v>
      </c>
      <c r="C10" s="71">
        <v>29</v>
      </c>
      <c r="D10" s="72">
        <v>40</v>
      </c>
      <c r="E10" s="73"/>
      <c r="F10" s="71">
        <v>7</v>
      </c>
      <c r="G10" s="71">
        <v>2</v>
      </c>
      <c r="H10" s="74">
        <f t="shared" si="1"/>
        <v>410000</v>
      </c>
      <c r="I10" s="75">
        <f t="shared" si="0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34</v>
      </c>
      <c r="B11" s="237">
        <v>13.2</v>
      </c>
      <c r="C11" s="91">
        <v>27</v>
      </c>
      <c r="D11" s="72">
        <v>34</v>
      </c>
      <c r="E11" s="73"/>
      <c r="F11" s="71">
        <v>8</v>
      </c>
      <c r="G11" s="71">
        <v>1</v>
      </c>
      <c r="H11" s="74">
        <f t="shared" si="1"/>
        <v>290000</v>
      </c>
      <c r="I11" s="75">
        <f t="shared" si="0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12</v>
      </c>
      <c r="B12" s="237">
        <v>14.7</v>
      </c>
      <c r="C12" s="12">
        <v>27</v>
      </c>
      <c r="D12" s="72">
        <v>34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14</v>
      </c>
      <c r="B13" s="237">
        <v>12.2</v>
      </c>
      <c r="C13" s="71">
        <v>26</v>
      </c>
      <c r="D13" s="91">
        <v>31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/>
      <c r="N13" s="96">
        <f>N10</f>
        <v>360000</v>
      </c>
    </row>
    <row r="14" spans="1:18" s="80" customFormat="1" ht="18" customHeight="1" x14ac:dyDescent="0.15">
      <c r="A14" s="362" t="s">
        <v>40</v>
      </c>
      <c r="B14" s="237">
        <v>22.5</v>
      </c>
      <c r="C14" s="72">
        <v>26</v>
      </c>
      <c r="D14" s="72">
        <v>35</v>
      </c>
      <c r="E14" s="73">
        <v>1.75</v>
      </c>
      <c r="F14" s="71"/>
      <c r="G14" s="71"/>
      <c r="H14" s="74">
        <f t="shared" si="2"/>
        <v>410000</v>
      </c>
      <c r="I14" s="75">
        <f t="shared" si="3"/>
        <v>410000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46</v>
      </c>
      <c r="B15" s="237">
        <v>23.1</v>
      </c>
      <c r="C15" s="71">
        <v>26</v>
      </c>
      <c r="D15" s="72">
        <v>36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158</v>
      </c>
      <c r="B16" s="237">
        <v>18.3</v>
      </c>
      <c r="C16" s="71" t="s">
        <v>215</v>
      </c>
      <c r="D16" s="72" t="s">
        <v>99</v>
      </c>
      <c r="E16" s="73"/>
      <c r="F16" s="12"/>
      <c r="G16" s="12"/>
      <c r="H16" s="74">
        <v>0</v>
      </c>
      <c r="I16" s="75">
        <f t="shared" si="3"/>
        <v>50000</v>
      </c>
    </row>
    <row r="17" spans="1:18" s="80" customFormat="1" ht="18" customHeight="1" x14ac:dyDescent="0.15">
      <c r="A17" s="362"/>
      <c r="B17" s="237"/>
      <c r="C17" s="71"/>
      <c r="D17" s="91"/>
      <c r="E17" s="73"/>
      <c r="F17" s="12"/>
      <c r="G17" s="12"/>
      <c r="H17" s="74">
        <f t="shared" si="2"/>
        <v>0</v>
      </c>
      <c r="I17" s="75">
        <f t="shared" si="3"/>
        <v>0</v>
      </c>
      <c r="O17" s="85"/>
      <c r="P17" s="85"/>
      <c r="Q17" s="85"/>
      <c r="R17" s="86"/>
    </row>
    <row r="18" spans="1:18" s="80" customFormat="1" ht="18" customHeight="1" x14ac:dyDescent="0.15">
      <c r="A18" s="362"/>
      <c r="B18" s="237"/>
      <c r="C18" s="72"/>
      <c r="D18" s="91"/>
      <c r="E18" s="87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12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1"/>
      <c r="D20" s="72"/>
      <c r="E20" s="87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8" s="56" customFormat="1" ht="18" customHeight="1" x14ac:dyDescent="0.15">
      <c r="A22" s="362"/>
      <c r="B22" s="237"/>
      <c r="C22" s="72"/>
      <c r="D22" s="91"/>
      <c r="E22" s="87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1"/>
      <c r="D23" s="72"/>
      <c r="E23" s="87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71"/>
      <c r="D24" s="72"/>
      <c r="E24" s="87"/>
      <c r="F24" s="12"/>
      <c r="G24" s="12"/>
      <c r="H24" s="74">
        <f>I24</f>
        <v>0</v>
      </c>
      <c r="I24" s="75">
        <f>IF(E24&gt;0,$N$13,0)+IF(C24&gt;0,50000,0)+IF(C24&lt;0,50000,0)</f>
        <v>0</v>
      </c>
    </row>
    <row r="25" spans="1:18" s="56" customFormat="1" ht="18" customHeight="1" x14ac:dyDescent="0.15">
      <c r="A25" s="362"/>
      <c r="B25" s="237"/>
      <c r="C25" s="72"/>
      <c r="D25" s="91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2"/>
      <c r="D26" s="72"/>
      <c r="E26" s="87"/>
      <c r="F26" s="12"/>
      <c r="G26" s="12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8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402</v>
      </c>
      <c r="E29" s="105"/>
      <c r="F29" s="3"/>
      <c r="G29" s="107">
        <f>SUM(G4:G28)</f>
        <v>39</v>
      </c>
      <c r="H29" s="107">
        <f>SUM(H4:H28)</f>
        <v>7260000</v>
      </c>
      <c r="I29" s="108"/>
    </row>
  </sheetData>
  <sheetProtection selectLockedCells="1" selectUnlockedCells="1"/>
  <sortState ref="A13:C15">
    <sortCondition descending="1" ref="C13:C15"/>
    <sortCondition ref="B13:B15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D31"/>
  <sheetViews>
    <sheetView workbookViewId="0">
      <selection activeCell="B3" sqref="B3:C26"/>
    </sheetView>
  </sheetViews>
  <sheetFormatPr baseColWidth="10" defaultColWidth="11.5" defaultRowHeight="14" x14ac:dyDescent="0.15"/>
  <cols>
    <col min="1" max="1" width="10.83203125" style="3" customWidth="1"/>
    <col min="2" max="2" width="23.5" style="1" bestFit="1" customWidth="1"/>
    <col min="3" max="3" width="11.5" style="1"/>
    <col min="4" max="4" width="14.1640625" style="1" customWidth="1"/>
    <col min="5" max="16384" width="11.5" style="1"/>
  </cols>
  <sheetData>
    <row r="1" spans="1:4" x14ac:dyDescent="0.15">
      <c r="A1" s="235" t="s">
        <v>139</v>
      </c>
      <c r="B1" s="236" t="s">
        <v>6</v>
      </c>
      <c r="C1" s="236" t="s">
        <v>7</v>
      </c>
      <c r="D1" s="232"/>
    </row>
    <row r="2" spans="1:4" ht="15" x14ac:dyDescent="0.15">
      <c r="A2" s="156">
        <v>4726</v>
      </c>
      <c r="B2" s="362" t="s">
        <v>8</v>
      </c>
      <c r="C2" s="237">
        <v>21.6</v>
      </c>
      <c r="D2" s="149" t="s">
        <v>9</v>
      </c>
    </row>
    <row r="3" spans="1:4" ht="15" x14ac:dyDescent="0.15">
      <c r="A3" s="156">
        <v>4737</v>
      </c>
      <c r="B3" s="362" t="s">
        <v>10</v>
      </c>
      <c r="C3" s="237">
        <v>14.4</v>
      </c>
      <c r="D3" s="149" t="s">
        <v>11</v>
      </c>
    </row>
    <row r="4" spans="1:4" ht="15" x14ac:dyDescent="0.15">
      <c r="A4" s="156">
        <v>1354</v>
      </c>
      <c r="B4" s="362" t="s">
        <v>12</v>
      </c>
      <c r="C4" s="237">
        <v>15.3</v>
      </c>
      <c r="D4" s="149" t="s">
        <v>13</v>
      </c>
    </row>
    <row r="5" spans="1:4" ht="15" x14ac:dyDescent="0.15">
      <c r="A5" s="156">
        <v>2619</v>
      </c>
      <c r="B5" s="362" t="s">
        <v>14</v>
      </c>
      <c r="C5" s="237">
        <v>12.8</v>
      </c>
      <c r="D5" s="149" t="s">
        <v>15</v>
      </c>
    </row>
    <row r="6" spans="1:4" ht="15" x14ac:dyDescent="0.15">
      <c r="A6" s="182">
        <v>3488</v>
      </c>
      <c r="B6" s="362" t="s">
        <v>16</v>
      </c>
      <c r="C6" s="237">
        <v>19.8</v>
      </c>
      <c r="D6" s="149" t="s">
        <v>17</v>
      </c>
    </row>
    <row r="7" spans="1:4" ht="15" x14ac:dyDescent="0.15">
      <c r="A7" s="156">
        <v>3768</v>
      </c>
      <c r="B7" s="362" t="s">
        <v>18</v>
      </c>
      <c r="C7" s="237">
        <v>14</v>
      </c>
      <c r="D7" s="149" t="s">
        <v>19</v>
      </c>
    </row>
    <row r="8" spans="1:4" ht="15" x14ac:dyDescent="0.15">
      <c r="A8" s="156">
        <v>4638</v>
      </c>
      <c r="B8" s="362" t="s">
        <v>20</v>
      </c>
      <c r="C8" s="237">
        <v>18.100000000000001</v>
      </c>
      <c r="D8" s="149" t="s">
        <v>21</v>
      </c>
    </row>
    <row r="9" spans="1:4" ht="15" x14ac:dyDescent="0.15">
      <c r="A9" s="156">
        <v>3112</v>
      </c>
      <c r="B9" s="362" t="s">
        <v>22</v>
      </c>
      <c r="C9" s="237">
        <v>13.8</v>
      </c>
      <c r="D9" s="149" t="s">
        <v>23</v>
      </c>
    </row>
    <row r="10" spans="1:4" ht="15" x14ac:dyDescent="0.15">
      <c r="A10" s="156">
        <v>3898</v>
      </c>
      <c r="B10" s="362" t="s">
        <v>24</v>
      </c>
      <c r="C10" s="237">
        <v>13</v>
      </c>
      <c r="D10" s="149" t="s">
        <v>25</v>
      </c>
    </row>
    <row r="11" spans="1:4" ht="15" x14ac:dyDescent="0.15">
      <c r="A11" s="156">
        <v>3157</v>
      </c>
      <c r="B11" s="362" t="s">
        <v>26</v>
      </c>
      <c r="C11" s="237">
        <v>24.4</v>
      </c>
      <c r="D11" s="149" t="s">
        <v>27</v>
      </c>
    </row>
    <row r="12" spans="1:4" ht="15" x14ac:dyDescent="0.15">
      <c r="A12" s="156">
        <v>4596</v>
      </c>
      <c r="B12" s="362" t="s">
        <v>28</v>
      </c>
      <c r="C12" s="237">
        <v>11</v>
      </c>
      <c r="D12" s="149" t="s">
        <v>29</v>
      </c>
    </row>
    <row r="13" spans="1:4" ht="15" x14ac:dyDescent="0.15">
      <c r="A13" s="156">
        <v>4765</v>
      </c>
      <c r="B13" s="362" t="s">
        <v>30</v>
      </c>
      <c r="C13" s="237">
        <v>11.3</v>
      </c>
      <c r="D13" s="149" t="s">
        <v>31</v>
      </c>
    </row>
    <row r="14" spans="1:4" ht="15" x14ac:dyDescent="0.15">
      <c r="A14" s="156">
        <v>2646</v>
      </c>
      <c r="B14" s="362" t="s">
        <v>32</v>
      </c>
      <c r="C14" s="237">
        <v>14</v>
      </c>
      <c r="D14" s="149" t="s">
        <v>33</v>
      </c>
    </row>
    <row r="15" spans="1:4" ht="15" x14ac:dyDescent="0.15">
      <c r="A15" s="156">
        <v>2332</v>
      </c>
      <c r="B15" s="362" t="s">
        <v>34</v>
      </c>
      <c r="C15" s="237">
        <v>12.9</v>
      </c>
      <c r="D15" s="149" t="s">
        <v>35</v>
      </c>
    </row>
    <row r="16" spans="1:4" ht="15" x14ac:dyDescent="0.15">
      <c r="A16" s="156">
        <v>4875</v>
      </c>
      <c r="B16" s="362" t="s">
        <v>36</v>
      </c>
      <c r="C16" s="237">
        <v>18.399999999999999</v>
      </c>
      <c r="D16" s="149" t="s">
        <v>37</v>
      </c>
    </row>
    <row r="17" spans="1:4" ht="15" x14ac:dyDescent="0.15">
      <c r="A17" s="156">
        <v>3181</v>
      </c>
      <c r="B17" s="362" t="s">
        <v>38</v>
      </c>
      <c r="C17" s="237">
        <v>15.4</v>
      </c>
      <c r="D17" s="149" t="s">
        <v>39</v>
      </c>
    </row>
    <row r="18" spans="1:4" ht="15" x14ac:dyDescent="0.15">
      <c r="A18" s="156">
        <v>5003</v>
      </c>
      <c r="B18" s="362" t="s">
        <v>158</v>
      </c>
      <c r="C18" s="237">
        <v>18.3</v>
      </c>
      <c r="D18" s="149" t="s">
        <v>181</v>
      </c>
    </row>
    <row r="19" spans="1:4" ht="15" x14ac:dyDescent="0.15">
      <c r="A19" s="156">
        <v>4975</v>
      </c>
      <c r="B19" s="362" t="s">
        <v>40</v>
      </c>
      <c r="C19" s="237">
        <v>22.9</v>
      </c>
      <c r="D19" s="149" t="s">
        <v>41</v>
      </c>
    </row>
    <row r="20" spans="1:4" ht="15" x14ac:dyDescent="0.15">
      <c r="A20" s="156">
        <v>4620</v>
      </c>
      <c r="B20" s="362" t="s">
        <v>42</v>
      </c>
      <c r="C20" s="237">
        <v>15.1</v>
      </c>
      <c r="D20" s="149" t="s">
        <v>43</v>
      </c>
    </row>
    <row r="21" spans="1:4" ht="15" x14ac:dyDescent="0.15">
      <c r="A21" s="156">
        <v>3912</v>
      </c>
      <c r="B21" s="362" t="s">
        <v>44</v>
      </c>
      <c r="C21" s="237">
        <v>16.3</v>
      </c>
      <c r="D21" s="149" t="s">
        <v>45</v>
      </c>
    </row>
    <row r="22" spans="1:4" ht="15" x14ac:dyDescent="0.15">
      <c r="A22" s="156">
        <v>3831</v>
      </c>
      <c r="B22" s="362" t="s">
        <v>46</v>
      </c>
      <c r="C22" s="237">
        <v>23.1</v>
      </c>
      <c r="D22" s="149" t="s">
        <v>47</v>
      </c>
    </row>
    <row r="23" spans="1:4" ht="15" x14ac:dyDescent="0.15">
      <c r="A23" s="156">
        <v>2991</v>
      </c>
      <c r="B23" s="362" t="s">
        <v>48</v>
      </c>
      <c r="C23" s="237">
        <v>9.6999999999999993</v>
      </c>
      <c r="D23" s="149" t="s">
        <v>49</v>
      </c>
    </row>
    <row r="24" spans="1:4" ht="15" x14ac:dyDescent="0.15">
      <c r="A24" s="156">
        <v>3747</v>
      </c>
      <c r="B24" s="362" t="s">
        <v>147</v>
      </c>
      <c r="C24" s="237">
        <v>11</v>
      </c>
      <c r="D24" s="149" t="s">
        <v>148</v>
      </c>
    </row>
    <row r="25" spans="1:4" ht="15" x14ac:dyDescent="0.15">
      <c r="A25" s="182">
        <v>2919</v>
      </c>
      <c r="B25" s="362" t="s">
        <v>50</v>
      </c>
      <c r="C25" s="237">
        <v>25.3</v>
      </c>
      <c r="D25" s="149" t="s">
        <v>51</v>
      </c>
    </row>
    <row r="26" spans="1:4" ht="15" x14ac:dyDescent="0.15">
      <c r="A26" s="156">
        <v>4949</v>
      </c>
      <c r="B26" s="362" t="s">
        <v>52</v>
      </c>
      <c r="C26" s="237">
        <v>12.2</v>
      </c>
      <c r="D26" s="149" t="s">
        <v>53</v>
      </c>
    </row>
    <row r="27" spans="1:4" x14ac:dyDescent="0.15">
      <c r="A27" s="234"/>
      <c r="B27" s="233"/>
      <c r="C27" s="233"/>
      <c r="D27" s="233"/>
    </row>
    <row r="28" spans="1:4" s="183" customFormat="1" x14ac:dyDescent="0.15">
      <c r="A28" s="234"/>
      <c r="B28" s="233"/>
      <c r="C28" s="233"/>
      <c r="D28" s="233"/>
    </row>
    <row r="29" spans="1:4" x14ac:dyDescent="0.15">
      <c r="A29" s="234"/>
      <c r="B29" s="233"/>
      <c r="C29" s="233"/>
      <c r="D29" s="233"/>
    </row>
    <row r="30" spans="1:4" x14ac:dyDescent="0.15">
      <c r="A30" s="234"/>
      <c r="B30" s="233"/>
      <c r="C30" s="233"/>
      <c r="D30" s="233"/>
    </row>
    <row r="31" spans="1:4" x14ac:dyDescent="0.15">
      <c r="A31" s="234"/>
      <c r="B31" s="233"/>
      <c r="C31" s="233"/>
      <c r="D31" s="233"/>
    </row>
  </sheetData>
  <sheetProtection selectLockedCells="1" selectUnlockedCells="1"/>
  <pageMargins left="0" right="0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>
    <pageSetUpPr fitToPage="1"/>
  </sheetPr>
  <dimension ref="A1:P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6" customFormat="1" ht="43.5" customHeight="1" x14ac:dyDescent="0.15">
      <c r="B1" s="440" t="s">
        <v>171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6" s="56" customFormat="1" ht="29.25" customHeight="1" x14ac:dyDescent="0.15">
      <c r="B2" s="449" t="s">
        <v>255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6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106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6" s="80" customFormat="1" ht="18" customHeight="1" x14ac:dyDescent="0.15">
      <c r="A4" s="362" t="s">
        <v>14</v>
      </c>
      <c r="B4" s="237">
        <v>12.5</v>
      </c>
      <c r="C4" s="71">
        <v>37</v>
      </c>
      <c r="D4" s="72">
        <v>32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6" s="80" customFormat="1" ht="18" customHeight="1" x14ac:dyDescent="0.15">
      <c r="A5" s="362" t="s">
        <v>32</v>
      </c>
      <c r="B5" s="237">
        <v>14</v>
      </c>
      <c r="C5" s="71">
        <v>37</v>
      </c>
      <c r="D5" s="91">
        <v>35</v>
      </c>
      <c r="E5" s="73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6" s="80" customFormat="1" ht="18" customHeight="1" x14ac:dyDescent="0.15">
      <c r="A6" s="362" t="s">
        <v>147</v>
      </c>
      <c r="B6" s="237">
        <v>11.1</v>
      </c>
      <c r="C6" s="71">
        <v>35</v>
      </c>
      <c r="D6" s="91">
        <v>32</v>
      </c>
      <c r="E6" s="87">
        <v>7.69</v>
      </c>
      <c r="F6" s="12">
        <v>3</v>
      </c>
      <c r="G6" s="12">
        <v>6</v>
      </c>
      <c r="H6" s="74">
        <f t="shared" si="0"/>
        <v>1310000</v>
      </c>
      <c r="I6" s="75">
        <f t="shared" si="1"/>
        <v>410000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6" s="80" customFormat="1" ht="18" customHeight="1" x14ac:dyDescent="0.15">
      <c r="A7" s="362" t="s">
        <v>30</v>
      </c>
      <c r="B7" s="237">
        <v>11.1</v>
      </c>
      <c r="C7" s="72">
        <v>34</v>
      </c>
      <c r="D7" s="72">
        <v>33</v>
      </c>
      <c r="E7" s="87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</row>
    <row r="8" spans="1:16" s="80" customFormat="1" ht="18" customHeight="1" x14ac:dyDescent="0.15">
      <c r="A8" s="362" t="s">
        <v>28</v>
      </c>
      <c r="B8" s="237">
        <v>11.6</v>
      </c>
      <c r="C8" s="71">
        <v>34</v>
      </c>
      <c r="D8" s="72">
        <v>27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6" s="80" customFormat="1" ht="18" customHeight="1" x14ac:dyDescent="0.15">
      <c r="A9" s="362" t="s">
        <v>8</v>
      </c>
      <c r="B9" s="237">
        <v>21.4</v>
      </c>
      <c r="C9" s="72">
        <v>33</v>
      </c>
      <c r="D9" s="72">
        <v>30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6" s="80" customFormat="1" ht="18" customHeight="1" x14ac:dyDescent="0.15">
      <c r="A10" s="362" t="s">
        <v>10</v>
      </c>
      <c r="B10" s="237">
        <v>15.3</v>
      </c>
      <c r="C10" s="12">
        <v>31</v>
      </c>
      <c r="D10" s="72">
        <v>31</v>
      </c>
      <c r="E10" s="87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6" s="80" customFormat="1" ht="18" customHeight="1" x14ac:dyDescent="0.15">
      <c r="A11" s="362" t="s">
        <v>34</v>
      </c>
      <c r="B11" s="237">
        <v>13.1</v>
      </c>
      <c r="C11" s="71">
        <v>30</v>
      </c>
      <c r="D11" s="91">
        <v>37</v>
      </c>
      <c r="E11" s="87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6" s="80" customFormat="1" ht="18" customHeight="1" x14ac:dyDescent="0.15">
      <c r="A12" s="362" t="s">
        <v>158</v>
      </c>
      <c r="B12" s="237">
        <v>18.100000000000001</v>
      </c>
      <c r="C12" s="71">
        <v>28</v>
      </c>
      <c r="D12" s="91">
        <v>38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6" s="80" customFormat="1" ht="18" customHeight="1" x14ac:dyDescent="0.15">
      <c r="A13" s="362" t="s">
        <v>46</v>
      </c>
      <c r="B13" s="237">
        <v>23</v>
      </c>
      <c r="C13" s="71">
        <v>28</v>
      </c>
      <c r="D13" s="72">
        <v>40</v>
      </c>
      <c r="E13" s="87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6" s="80" customFormat="1" ht="18" customHeight="1" x14ac:dyDescent="0.15">
      <c r="A14" s="362" t="s">
        <v>52</v>
      </c>
      <c r="B14" s="237">
        <v>12</v>
      </c>
      <c r="C14" s="72">
        <v>27</v>
      </c>
      <c r="D14" s="72">
        <v>39</v>
      </c>
      <c r="E14" s="87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6" s="80" customFormat="1" ht="18" customHeight="1" x14ac:dyDescent="0.15">
      <c r="A15" s="362" t="s">
        <v>24</v>
      </c>
      <c r="B15" s="237">
        <v>12.5</v>
      </c>
      <c r="C15" s="71">
        <v>23</v>
      </c>
      <c r="D15" s="72">
        <v>40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6" s="80" customFormat="1" ht="18" customHeight="1" x14ac:dyDescent="0.15">
      <c r="A16" s="362" t="s">
        <v>36</v>
      </c>
      <c r="B16" s="237">
        <v>17.7</v>
      </c>
      <c r="C16" s="71">
        <v>23</v>
      </c>
      <c r="D16" s="72">
        <v>40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2" s="80" customFormat="1" ht="18" customHeight="1" x14ac:dyDescent="0.15">
      <c r="A17" s="362" t="s">
        <v>16</v>
      </c>
      <c r="B17" s="237">
        <v>20.7</v>
      </c>
      <c r="C17" s="71">
        <v>22</v>
      </c>
      <c r="D17" s="72">
        <v>41</v>
      </c>
      <c r="E17" s="73"/>
      <c r="F17" s="12"/>
      <c r="G17" s="12"/>
      <c r="H17" s="74">
        <f t="shared" si="2"/>
        <v>50000</v>
      </c>
      <c r="I17" s="75">
        <f t="shared" si="3"/>
        <v>50000</v>
      </c>
    </row>
    <row r="18" spans="1:12" s="80" customFormat="1" ht="18" customHeight="1" x14ac:dyDescent="0.15">
      <c r="A18" s="362"/>
      <c r="B18" s="237"/>
      <c r="C18" s="71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</row>
    <row r="19" spans="1:12" s="80" customFormat="1" ht="18" customHeight="1" x14ac:dyDescent="0.15">
      <c r="A19" s="362"/>
      <c r="B19" s="237"/>
      <c r="C19" s="71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</row>
    <row r="20" spans="1:12" s="56" customFormat="1" ht="18" customHeight="1" x14ac:dyDescent="0.15">
      <c r="A20" s="362"/>
      <c r="B20" s="237"/>
      <c r="C20" s="72"/>
      <c r="D20" s="91"/>
      <c r="E20" s="73"/>
      <c r="F20" s="12"/>
      <c r="G20" s="12"/>
      <c r="H20" s="74">
        <f t="shared" si="2"/>
        <v>0</v>
      </c>
      <c r="I20" s="75">
        <f t="shared" si="3"/>
        <v>0</v>
      </c>
    </row>
    <row r="21" spans="1:12" s="56" customFormat="1" ht="18" customHeight="1" x14ac:dyDescent="0.15">
      <c r="A21" s="362"/>
      <c r="B21" s="237"/>
      <c r="C21" s="72"/>
      <c r="D21" s="91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2" s="56" customFormat="1" ht="18" customHeight="1" x14ac:dyDescent="0.15">
      <c r="A22" s="362"/>
      <c r="B22" s="237"/>
      <c r="C22" s="71"/>
      <c r="D22" s="91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2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2" s="56" customFormat="1" ht="18" customHeight="1" x14ac:dyDescent="0.15">
      <c r="A24" s="362"/>
      <c r="B24" s="237"/>
      <c r="C24" s="12"/>
      <c r="D24" s="72"/>
      <c r="E24" s="87"/>
      <c r="F24" s="12"/>
      <c r="G24" s="12"/>
      <c r="H24" s="74">
        <f t="shared" si="2"/>
        <v>0</v>
      </c>
      <c r="I24" s="75">
        <f t="shared" si="3"/>
        <v>0</v>
      </c>
    </row>
    <row r="25" spans="1:12" s="56" customFormat="1" ht="18" customHeight="1" x14ac:dyDescent="0.15">
      <c r="A25" s="362"/>
      <c r="B25" s="237"/>
      <c r="C25" s="71"/>
      <c r="D25" s="91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2" s="56" customFormat="1" ht="18" customHeight="1" x14ac:dyDescent="0.15">
      <c r="A26" s="362"/>
      <c r="B26" s="237"/>
      <c r="C26" s="72"/>
      <c r="D26" s="91"/>
      <c r="E26" s="73"/>
      <c r="F26" s="12"/>
      <c r="G26" s="12"/>
      <c r="H26" s="74">
        <f>I26</f>
        <v>0</v>
      </c>
      <c r="I26" s="75">
        <f>IF(E26&gt;0,$N$13,0)+IF(C26&gt;0,50000,0)+IF(C26&lt;0,50000,0)</f>
        <v>0</v>
      </c>
    </row>
    <row r="27" spans="1:12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2" s="56" customFormat="1" ht="18" customHeight="1" x14ac:dyDescent="0.15">
      <c r="A28" s="362"/>
      <c r="B28" s="237"/>
      <c r="C28" s="9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2" ht="24" customHeight="1" thickBot="1" x14ac:dyDescent="0.2">
      <c r="A29" s="1"/>
      <c r="B29" s="3"/>
      <c r="C29" s="105"/>
      <c r="D29" s="106">
        <f>SUM(D4:D28)</f>
        <v>495</v>
      </c>
      <c r="E29" s="105"/>
      <c r="F29" s="3"/>
      <c r="G29" s="107">
        <f>SUM(G4:G28)</f>
        <v>39</v>
      </c>
      <c r="H29" s="107">
        <f>SUM(H4:H28)</f>
        <v>7060000</v>
      </c>
      <c r="I29" s="108"/>
    </row>
  </sheetData>
  <sheetProtection selectLockedCells="1" selectUnlockedCells="1"/>
  <sortState ref="A4:C28">
    <sortCondition descending="1" ref="C4:C28"/>
    <sortCondition ref="B4:B2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2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196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254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105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13.7</v>
      </c>
      <c r="C4" s="71">
        <v>67</v>
      </c>
      <c r="D4" s="72">
        <v>29</v>
      </c>
      <c r="E4" s="73"/>
      <c r="F4" s="71">
        <v>1</v>
      </c>
      <c r="G4" s="71">
        <v>10</v>
      </c>
      <c r="H4" s="74">
        <f t="shared" ref="H4:H11" si="0">N4+I4</f>
        <v>2050000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2000000</v>
      </c>
    </row>
    <row r="5" spans="1:18" s="80" customFormat="1" ht="18" customHeight="1" x14ac:dyDescent="0.15">
      <c r="A5" s="362" t="s">
        <v>48</v>
      </c>
      <c r="B5" s="237">
        <v>9.1</v>
      </c>
      <c r="C5" s="72">
        <v>71</v>
      </c>
      <c r="D5" s="72">
        <v>25</v>
      </c>
      <c r="E5" s="73"/>
      <c r="F5" s="71">
        <v>2</v>
      </c>
      <c r="G5" s="71">
        <v>8</v>
      </c>
      <c r="H5" s="74">
        <f t="shared" si="0"/>
        <v>1650000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1600000</v>
      </c>
    </row>
    <row r="6" spans="1:18" s="80" customFormat="1" ht="18" customHeight="1" x14ac:dyDescent="0.15">
      <c r="A6" s="362" t="s">
        <v>14</v>
      </c>
      <c r="B6" s="237">
        <v>12.5</v>
      </c>
      <c r="C6" s="71">
        <v>71</v>
      </c>
      <c r="D6" s="72">
        <v>32</v>
      </c>
      <c r="E6" s="73"/>
      <c r="F6" s="12">
        <v>3</v>
      </c>
      <c r="G6" s="12">
        <v>6</v>
      </c>
      <c r="H6" s="74">
        <f t="shared" si="0"/>
        <v>1250000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1200000</v>
      </c>
    </row>
    <row r="7" spans="1:18" s="80" customFormat="1" ht="18" customHeight="1" x14ac:dyDescent="0.15">
      <c r="A7" s="362" t="s">
        <v>18</v>
      </c>
      <c r="B7" s="237">
        <v>14.7</v>
      </c>
      <c r="C7" s="71">
        <v>71</v>
      </c>
      <c r="D7" s="91">
        <v>36</v>
      </c>
      <c r="E7" s="73"/>
      <c r="F7" s="71">
        <v>4</v>
      </c>
      <c r="G7" s="71">
        <v>5</v>
      </c>
      <c r="H7" s="74">
        <f t="shared" si="0"/>
        <v>1010000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960000</v>
      </c>
      <c r="O7" s="85"/>
      <c r="P7" s="85"/>
      <c r="Q7" s="85"/>
      <c r="R7" s="86"/>
    </row>
    <row r="8" spans="1:18" s="80" customFormat="1" ht="18" customHeight="1" x14ac:dyDescent="0.15">
      <c r="A8" s="362" t="s">
        <v>42</v>
      </c>
      <c r="B8" s="237">
        <v>17.2</v>
      </c>
      <c r="C8" s="71">
        <v>72</v>
      </c>
      <c r="D8" s="72">
        <v>37</v>
      </c>
      <c r="E8" s="73"/>
      <c r="F8" s="71">
        <v>5</v>
      </c>
      <c r="G8" s="71">
        <v>4</v>
      </c>
      <c r="H8" s="74">
        <f t="shared" si="0"/>
        <v>850000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800000</v>
      </c>
    </row>
    <row r="9" spans="1:18" s="80" customFormat="1" ht="18" customHeight="1" x14ac:dyDescent="0.15">
      <c r="A9" s="362" t="s">
        <v>36</v>
      </c>
      <c r="B9" s="237">
        <v>17.7</v>
      </c>
      <c r="C9" s="71">
        <v>72</v>
      </c>
      <c r="D9" s="72">
        <v>32</v>
      </c>
      <c r="E9" s="73"/>
      <c r="F9" s="88">
        <v>6</v>
      </c>
      <c r="G9" s="88">
        <v>3</v>
      </c>
      <c r="H9" s="74">
        <f t="shared" si="0"/>
        <v>690000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640000</v>
      </c>
    </row>
    <row r="10" spans="1:18" s="80" customFormat="1" ht="18" customHeight="1" x14ac:dyDescent="0.15">
      <c r="A10" s="362" t="s">
        <v>28</v>
      </c>
      <c r="B10" s="237">
        <v>11.6</v>
      </c>
      <c r="C10" s="71">
        <v>73</v>
      </c>
      <c r="D10" s="91">
        <v>29</v>
      </c>
      <c r="E10" s="73"/>
      <c r="F10" s="71">
        <v>7</v>
      </c>
      <c r="G10" s="71">
        <v>2</v>
      </c>
      <c r="H10" s="74">
        <f t="shared" si="0"/>
        <v>530000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480000</v>
      </c>
    </row>
    <row r="11" spans="1:18" s="80" customFormat="1" ht="18" customHeight="1" x14ac:dyDescent="0.15">
      <c r="A11" s="362" t="s">
        <v>158</v>
      </c>
      <c r="B11" s="237">
        <v>18</v>
      </c>
      <c r="C11" s="72">
        <v>74</v>
      </c>
      <c r="D11" s="72">
        <v>35</v>
      </c>
      <c r="E11" s="87"/>
      <c r="F11" s="71">
        <v>8</v>
      </c>
      <c r="G11" s="71">
        <v>1</v>
      </c>
      <c r="H11" s="74">
        <f t="shared" si="0"/>
        <v>370000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320000</v>
      </c>
    </row>
    <row r="12" spans="1:18" s="80" customFormat="1" ht="18" customHeight="1" x14ac:dyDescent="0.15">
      <c r="A12" s="362" t="s">
        <v>38</v>
      </c>
      <c r="B12" s="237">
        <v>15.1</v>
      </c>
      <c r="C12" s="71">
        <v>76</v>
      </c>
      <c r="D12" s="72">
        <v>32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8000000</v>
      </c>
    </row>
    <row r="13" spans="1:18" s="80" customFormat="1" ht="18" customHeight="1" x14ac:dyDescent="0.15">
      <c r="A13" s="362" t="s">
        <v>8</v>
      </c>
      <c r="B13" s="237">
        <v>21.3</v>
      </c>
      <c r="C13" s="71">
        <v>78</v>
      </c>
      <c r="D13" s="72">
        <v>34</v>
      </c>
      <c r="E13" s="87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480000</v>
      </c>
    </row>
    <row r="14" spans="1:18" s="80" customFormat="1" ht="18" customHeight="1" x14ac:dyDescent="0.15">
      <c r="A14" s="362" t="s">
        <v>30</v>
      </c>
      <c r="B14" s="237">
        <v>11</v>
      </c>
      <c r="C14" s="71">
        <v>80</v>
      </c>
      <c r="D14" s="72">
        <v>30</v>
      </c>
      <c r="E14" s="87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26</v>
      </c>
      <c r="B15" s="237">
        <v>24</v>
      </c>
      <c r="C15" s="71">
        <v>81</v>
      </c>
      <c r="D15" s="72">
        <v>46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/>
      <c r="B16" s="237"/>
      <c r="C16" s="91"/>
      <c r="D16" s="72"/>
      <c r="E16" s="73"/>
      <c r="F16" s="12"/>
      <c r="G16" s="12"/>
      <c r="H16" s="74">
        <f t="shared" si="2"/>
        <v>0</v>
      </c>
      <c r="I16" s="75">
        <f t="shared" si="3"/>
        <v>0</v>
      </c>
    </row>
    <row r="17" spans="1:13" s="80" customFormat="1" ht="18" customHeight="1" x14ac:dyDescent="0.15">
      <c r="A17" s="362"/>
      <c r="B17" s="237"/>
      <c r="C17" s="12"/>
      <c r="D17" s="72"/>
      <c r="E17" s="73"/>
      <c r="F17" s="12"/>
      <c r="G17" s="12"/>
      <c r="H17" s="74">
        <f t="shared" si="2"/>
        <v>0</v>
      </c>
      <c r="I17" s="75">
        <f t="shared" si="3"/>
        <v>0</v>
      </c>
      <c r="J17" s="85"/>
      <c r="K17" s="85"/>
      <c r="L17" s="85"/>
      <c r="M17" s="86"/>
    </row>
    <row r="18" spans="1:13" s="80" customFormat="1" ht="18" customHeight="1" x14ac:dyDescent="0.15">
      <c r="A18" s="362"/>
      <c r="B18" s="237"/>
      <c r="C18" s="71"/>
      <c r="D18" s="91"/>
      <c r="E18" s="73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3" s="80" customFormat="1" ht="18" customHeight="1" x14ac:dyDescent="0.15">
      <c r="A19" s="362"/>
      <c r="B19" s="237"/>
      <c r="C19" s="72"/>
      <c r="D19" s="91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3" s="56" customFormat="1" ht="18" customHeight="1" x14ac:dyDescent="0.15">
      <c r="A20" s="362"/>
      <c r="B20" s="237"/>
      <c r="C20" s="71"/>
      <c r="D20" s="72"/>
      <c r="E20" s="87"/>
      <c r="F20" s="12"/>
      <c r="G20" s="12"/>
      <c r="H20" s="74">
        <f t="shared" si="2"/>
        <v>0</v>
      </c>
      <c r="I20" s="75">
        <f t="shared" si="3"/>
        <v>0</v>
      </c>
    </row>
    <row r="21" spans="1:13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3" s="56" customFormat="1" ht="18" customHeight="1" x14ac:dyDescent="0.15">
      <c r="A22" s="362"/>
      <c r="B22" s="237"/>
      <c r="C22" s="72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1"/>
      <c r="D23" s="91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3" s="56" customFormat="1" ht="18" customHeight="1" x14ac:dyDescent="0.15">
      <c r="A24" s="362"/>
      <c r="B24" s="237"/>
      <c r="C24" s="71"/>
      <c r="D24" s="91"/>
      <c r="E24" s="87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2"/>
      <c r="D25" s="91"/>
      <c r="E25" s="87"/>
      <c r="F25" s="12"/>
      <c r="G25" s="12"/>
      <c r="H25" s="74">
        <f t="shared" si="2"/>
        <v>0</v>
      </c>
      <c r="I25" s="75"/>
    </row>
    <row r="26" spans="1:13" s="56" customFormat="1" ht="18" customHeight="1" x14ac:dyDescent="0.15">
      <c r="A26" s="362"/>
      <c r="B26" s="237"/>
      <c r="C26" s="72"/>
      <c r="D26" s="72"/>
      <c r="E26" s="87"/>
      <c r="F26" s="12"/>
      <c r="G26" s="12"/>
      <c r="H26" s="74">
        <f t="shared" si="2"/>
        <v>0</v>
      </c>
      <c r="I26" s="75">
        <f t="shared" si="3"/>
        <v>0</v>
      </c>
    </row>
    <row r="27" spans="1:13" s="56" customFormat="1" ht="18" customHeight="1" x14ac:dyDescent="0.15">
      <c r="A27" s="362"/>
      <c r="B27" s="237"/>
      <c r="C27" s="12"/>
      <c r="D27" s="91"/>
      <c r="E27" s="87"/>
      <c r="F27" s="71"/>
      <c r="G27" s="71"/>
      <c r="H27" s="74">
        <f t="shared" si="2"/>
        <v>0</v>
      </c>
      <c r="I27" s="75">
        <f t="shared" si="3"/>
        <v>0</v>
      </c>
    </row>
    <row r="28" spans="1:13" s="56" customFormat="1" ht="18" customHeight="1" x14ac:dyDescent="0.15">
      <c r="A28" s="362"/>
      <c r="B28" s="237"/>
      <c r="C28" s="72"/>
      <c r="D28" s="91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3" ht="24" customHeight="1" x14ac:dyDescent="0.15">
      <c r="A29" s="1"/>
      <c r="B29" s="3"/>
      <c r="C29" s="105"/>
      <c r="D29" s="106">
        <f>SUM(D4:D28)</f>
        <v>397</v>
      </c>
      <c r="E29" s="105"/>
      <c r="F29" s="3"/>
      <c r="G29" s="107">
        <f>SUM(G4:G28)</f>
        <v>39</v>
      </c>
      <c r="H29" s="107">
        <f>SUM(H4:H28)</f>
        <v>8600000</v>
      </c>
      <c r="I29" s="108"/>
    </row>
  </sheetData>
  <sheetProtection selectLockedCells="1" selectUnlockedCells="1"/>
  <sortState ref="A4:C25">
    <sortCondition ref="C4:C25"/>
    <sortCondition ref="B4:B25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1">
    <pageSetUpPr fitToPage="1"/>
  </sheetPr>
  <dimension ref="A1:P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6" s="56" customFormat="1" ht="43.5" customHeight="1" x14ac:dyDescent="0.15">
      <c r="B1" s="440" t="s">
        <v>195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6" s="56" customFormat="1" ht="29.25" customHeight="1" x14ac:dyDescent="0.15">
      <c r="B2" s="449" t="s">
        <v>253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6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6" s="80" customFormat="1" ht="18" customHeight="1" x14ac:dyDescent="0.15">
      <c r="A4" s="362" t="s">
        <v>24</v>
      </c>
      <c r="B4" s="237">
        <v>13.9</v>
      </c>
      <c r="C4" s="71">
        <v>41</v>
      </c>
      <c r="D4" s="91">
        <v>34</v>
      </c>
      <c r="E4" s="87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6" s="80" customFormat="1" ht="18" customHeight="1" x14ac:dyDescent="0.15">
      <c r="A5" s="362" t="s">
        <v>30</v>
      </c>
      <c r="B5" s="237">
        <v>11.2</v>
      </c>
      <c r="C5" s="71">
        <v>37</v>
      </c>
      <c r="D5" s="72">
        <v>29</v>
      </c>
      <c r="E5" s="87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6" s="80" customFormat="1" ht="18" customHeight="1" x14ac:dyDescent="0.15">
      <c r="A6" s="362" t="s">
        <v>22</v>
      </c>
      <c r="B6" s="237">
        <v>13.1</v>
      </c>
      <c r="C6" s="71">
        <v>36</v>
      </c>
      <c r="D6" s="72">
        <v>27</v>
      </c>
      <c r="E6" s="87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6" s="80" customFormat="1" ht="18" customHeight="1" x14ac:dyDescent="0.15">
      <c r="A7" s="362" t="s">
        <v>38</v>
      </c>
      <c r="B7" s="237">
        <v>15.1</v>
      </c>
      <c r="C7" s="71">
        <v>35</v>
      </c>
      <c r="D7" s="72">
        <v>33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</row>
    <row r="8" spans="1:16" s="80" customFormat="1" ht="18" customHeight="1" x14ac:dyDescent="0.15">
      <c r="A8" s="362" t="s">
        <v>42</v>
      </c>
      <c r="B8" s="237">
        <v>17.2</v>
      </c>
      <c r="C8" s="71">
        <v>34</v>
      </c>
      <c r="D8" s="91">
        <v>33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6" s="80" customFormat="1" ht="18" customHeight="1" x14ac:dyDescent="0.15">
      <c r="A9" s="362" t="s">
        <v>158</v>
      </c>
      <c r="B9" s="237">
        <v>17.899999999999999</v>
      </c>
      <c r="C9" s="71">
        <v>32</v>
      </c>
      <c r="D9" s="72">
        <v>32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6" s="80" customFormat="1" ht="18" customHeight="1" x14ac:dyDescent="0.15">
      <c r="A10" s="362" t="s">
        <v>52</v>
      </c>
      <c r="B10" s="237">
        <v>11.9</v>
      </c>
      <c r="C10" s="91">
        <v>31</v>
      </c>
      <c r="D10" s="91">
        <v>31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6" s="80" customFormat="1" ht="18" customHeight="1" x14ac:dyDescent="0.15">
      <c r="A11" s="362" t="s">
        <v>36</v>
      </c>
      <c r="B11" s="237">
        <v>17.600000000000001</v>
      </c>
      <c r="C11" s="12">
        <v>30</v>
      </c>
      <c r="D11" s="72">
        <v>33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6" s="80" customFormat="1" ht="18" customHeight="1" x14ac:dyDescent="0.15">
      <c r="A12" s="362" t="s">
        <v>48</v>
      </c>
      <c r="B12" s="237">
        <v>9</v>
      </c>
      <c r="C12" s="72">
        <v>29</v>
      </c>
      <c r="D12" s="72">
        <v>31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6" s="80" customFormat="1" ht="18" customHeight="1" x14ac:dyDescent="0.15">
      <c r="A13" s="362" t="s">
        <v>34</v>
      </c>
      <c r="B13" s="237">
        <v>13.6</v>
      </c>
      <c r="C13" s="71">
        <v>29</v>
      </c>
      <c r="D13" s="72">
        <v>36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6" s="80" customFormat="1" ht="18" customHeight="1" x14ac:dyDescent="0.15">
      <c r="A14" s="362" t="s">
        <v>50</v>
      </c>
      <c r="B14" s="237">
        <v>25.5</v>
      </c>
      <c r="C14" s="71">
        <v>29</v>
      </c>
      <c r="D14" s="91">
        <v>42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6" s="80" customFormat="1" ht="18" customHeight="1" x14ac:dyDescent="0.15">
      <c r="A15" s="362" t="s">
        <v>18</v>
      </c>
      <c r="B15" s="237">
        <v>14.6</v>
      </c>
      <c r="C15" s="71">
        <v>28</v>
      </c>
      <c r="D15" s="72">
        <v>30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6" s="80" customFormat="1" ht="18" customHeight="1" x14ac:dyDescent="0.15">
      <c r="A16" s="362" t="s">
        <v>28</v>
      </c>
      <c r="B16" s="237">
        <v>11.5</v>
      </c>
      <c r="C16" s="71">
        <v>27</v>
      </c>
      <c r="D16" s="72">
        <v>37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4" s="80" customFormat="1" ht="18" customHeight="1" x14ac:dyDescent="0.15">
      <c r="A17" s="362" t="s">
        <v>8</v>
      </c>
      <c r="B17" s="237">
        <v>21.2</v>
      </c>
      <c r="C17" s="71">
        <v>26</v>
      </c>
      <c r="D17" s="91">
        <v>37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J17" s="85"/>
      <c r="K17" s="85"/>
      <c r="L17" s="85"/>
      <c r="M17" s="86"/>
    </row>
    <row r="18" spans="1:14" s="80" customFormat="1" ht="18" customHeight="1" x14ac:dyDescent="0.15">
      <c r="A18" s="362" t="s">
        <v>46</v>
      </c>
      <c r="B18" s="237">
        <v>22.9</v>
      </c>
      <c r="C18" s="71">
        <v>25</v>
      </c>
      <c r="D18" s="91">
        <v>41</v>
      </c>
      <c r="E18" s="73">
        <v>3.37</v>
      </c>
      <c r="F18" s="71"/>
      <c r="G18" s="71"/>
      <c r="H18" s="74">
        <f t="shared" si="2"/>
        <v>410000</v>
      </c>
      <c r="I18" s="75">
        <f t="shared" si="3"/>
        <v>410000</v>
      </c>
      <c r="J18" s="102"/>
      <c r="K18" s="102"/>
      <c r="L18" s="102"/>
      <c r="M18" s="102"/>
      <c r="N18" s="102"/>
    </row>
    <row r="19" spans="1:14" s="80" customFormat="1" ht="18" customHeight="1" x14ac:dyDescent="0.15">
      <c r="A19" s="362"/>
      <c r="B19" s="237"/>
      <c r="C19" s="72"/>
      <c r="D19" s="72"/>
      <c r="E19" s="87"/>
      <c r="F19" s="71"/>
      <c r="G19" s="71"/>
      <c r="H19" s="74">
        <f t="shared" si="2"/>
        <v>0</v>
      </c>
      <c r="I19" s="75">
        <f t="shared" si="3"/>
        <v>0</v>
      </c>
      <c r="J19" s="102"/>
      <c r="K19" s="102"/>
      <c r="L19" s="102"/>
      <c r="M19" s="103"/>
      <c r="N19" s="103"/>
    </row>
    <row r="20" spans="1:14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  <c r="J20" s="102"/>
      <c r="K20" s="102"/>
      <c r="L20" s="102"/>
      <c r="M20" s="103"/>
      <c r="N20" s="103"/>
    </row>
    <row r="21" spans="1:14" s="56" customFormat="1" ht="18" customHeight="1" x14ac:dyDescent="0.15">
      <c r="A21" s="362"/>
      <c r="B21" s="237"/>
      <c r="C21" s="72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102"/>
      <c r="K21" s="102"/>
      <c r="L21" s="102"/>
      <c r="M21" s="103"/>
      <c r="N21" s="103"/>
    </row>
    <row r="22" spans="1:14" s="56" customFormat="1" ht="18" customHeight="1" x14ac:dyDescent="0.15">
      <c r="A22" s="362"/>
      <c r="B22" s="237"/>
      <c r="C22" s="71"/>
      <c r="D22" s="72"/>
      <c r="E22" s="87"/>
      <c r="F22" s="12"/>
      <c r="G22" s="12"/>
      <c r="H22" s="74">
        <f t="shared" si="2"/>
        <v>0</v>
      </c>
      <c r="I22" s="75">
        <f t="shared" si="3"/>
        <v>0</v>
      </c>
      <c r="J22" s="102"/>
      <c r="K22" s="102"/>
      <c r="L22" s="102"/>
      <c r="M22" s="103"/>
      <c r="N22" s="103"/>
    </row>
    <row r="23" spans="1:14" s="56" customFormat="1" ht="18" customHeight="1" x14ac:dyDescent="0.15">
      <c r="A23" s="362"/>
      <c r="B23" s="237"/>
      <c r="C23" s="1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199"/>
      <c r="K23" s="199"/>
      <c r="L23" s="200"/>
      <c r="M23" s="201"/>
      <c r="N23" s="201"/>
    </row>
    <row r="24" spans="1:14" s="56" customFormat="1" ht="18" customHeight="1" x14ac:dyDescent="0.15">
      <c r="A24" s="362"/>
      <c r="B24" s="237"/>
      <c r="C24" s="72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  <c r="J24" s="199"/>
      <c r="K24" s="199"/>
      <c r="L24" s="200"/>
      <c r="M24" s="201"/>
      <c r="N24" s="201"/>
    </row>
    <row r="25" spans="1:14" s="56" customFormat="1" ht="18" customHeight="1" x14ac:dyDescent="0.15">
      <c r="A25" s="362"/>
      <c r="B25" s="237"/>
      <c r="C25" s="71"/>
      <c r="D25" s="91"/>
      <c r="E25" s="73"/>
      <c r="F25" s="12"/>
      <c r="G25" s="12"/>
      <c r="H25" s="74">
        <f t="shared" si="2"/>
        <v>0</v>
      </c>
      <c r="I25" s="75">
        <f t="shared" si="3"/>
        <v>0</v>
      </c>
      <c r="J25" s="199"/>
      <c r="K25" s="199"/>
      <c r="L25" s="200"/>
      <c r="M25" s="201"/>
      <c r="N25" s="201"/>
    </row>
    <row r="26" spans="1:14" s="56" customFormat="1" ht="18" customHeight="1" x14ac:dyDescent="0.15">
      <c r="A26" s="362"/>
      <c r="B26" s="237"/>
      <c r="C26" s="72"/>
      <c r="D26" s="91"/>
      <c r="E26" s="73"/>
      <c r="F26" s="12"/>
      <c r="G26" s="12"/>
      <c r="H26" s="74">
        <f t="shared" si="2"/>
        <v>0</v>
      </c>
      <c r="I26" s="75">
        <f t="shared" si="3"/>
        <v>0</v>
      </c>
      <c r="J26" s="102"/>
      <c r="K26" s="102"/>
      <c r="L26" s="102"/>
      <c r="M26" s="103"/>
      <c r="N26" s="103"/>
    </row>
    <row r="27" spans="1:14" s="56" customFormat="1" ht="18" customHeight="1" x14ac:dyDescent="0.15">
      <c r="A27" s="362"/>
      <c r="B27" s="237"/>
      <c r="C27" s="72"/>
      <c r="D27" s="72"/>
      <c r="E27" s="87"/>
      <c r="F27" s="71"/>
      <c r="G27" s="71"/>
      <c r="H27" s="74">
        <f t="shared" si="2"/>
        <v>0</v>
      </c>
      <c r="I27" s="75">
        <f t="shared" si="3"/>
        <v>0</v>
      </c>
      <c r="J27" s="102"/>
      <c r="K27" s="102"/>
      <c r="L27" s="102"/>
      <c r="M27" s="103"/>
      <c r="N27" s="103"/>
    </row>
    <row r="28" spans="1:14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  <c r="J28" s="102"/>
      <c r="K28" s="102"/>
      <c r="L28" s="102"/>
      <c r="M28" s="103"/>
      <c r="N28" s="103"/>
    </row>
    <row r="29" spans="1:14" ht="24" customHeight="1" thickBot="1" x14ac:dyDescent="0.2">
      <c r="A29" s="1"/>
      <c r="B29" s="3"/>
      <c r="C29" s="105"/>
      <c r="D29" s="106">
        <f>SUM(D4:D28)</f>
        <v>506</v>
      </c>
      <c r="E29" s="105"/>
      <c r="F29" s="3"/>
      <c r="G29" s="107">
        <f>SUM(G4:G28)</f>
        <v>39</v>
      </c>
      <c r="H29" s="107">
        <f>SUM(H4:H28)</f>
        <v>7110000</v>
      </c>
      <c r="I29" s="108"/>
    </row>
  </sheetData>
  <sheetProtection selectLockedCells="1" selectUnlockedCells="1"/>
  <sortState ref="A4:C28">
    <sortCondition descending="1" ref="C4:C28"/>
    <sortCondition ref="B4:B2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194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250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36</v>
      </c>
      <c r="B4" s="237">
        <v>19.2</v>
      </c>
      <c r="C4" s="71">
        <v>41</v>
      </c>
      <c r="D4" s="91">
        <v>32</v>
      </c>
      <c r="E4" s="73">
        <v>2.2799999999999998</v>
      </c>
      <c r="F4" s="71">
        <v>1</v>
      </c>
      <c r="G4" s="71">
        <v>10</v>
      </c>
      <c r="H4" s="74">
        <f t="shared" ref="H4:H10" si="0">N4+I4</f>
        <v>1910000</v>
      </c>
      <c r="I4" s="75">
        <f t="shared" ref="I4:I11" si="1">IF(E4&gt;0,$N$13,0)+IF(C4&gt;0,50000,0)+IF(C12&lt;0,50000,0)</f>
        <v>410000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12</v>
      </c>
      <c r="B5" s="237">
        <v>15.3</v>
      </c>
      <c r="C5" s="71">
        <v>38</v>
      </c>
      <c r="D5" s="72">
        <v>30</v>
      </c>
      <c r="E5" s="87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28</v>
      </c>
      <c r="B6" s="237">
        <v>11.5</v>
      </c>
      <c r="C6" s="71">
        <v>34</v>
      </c>
      <c r="D6" s="72">
        <v>32</v>
      </c>
      <c r="E6" s="87">
        <v>4.5999999999999996</v>
      </c>
      <c r="F6" s="12">
        <v>3</v>
      </c>
      <c r="G6" s="12">
        <v>6</v>
      </c>
      <c r="H6" s="74">
        <v>1050000</v>
      </c>
      <c r="I6" s="75">
        <f t="shared" si="1"/>
        <v>410000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52</v>
      </c>
      <c r="B7" s="237">
        <v>11.9</v>
      </c>
      <c r="C7" s="91">
        <v>34</v>
      </c>
      <c r="D7" s="72">
        <v>33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16</v>
      </c>
      <c r="B8" s="237">
        <v>20.7</v>
      </c>
      <c r="C8" s="71">
        <v>33</v>
      </c>
      <c r="D8" s="72">
        <v>37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10</v>
      </c>
      <c r="B9" s="237">
        <v>15.2</v>
      </c>
      <c r="C9" s="71">
        <v>32</v>
      </c>
      <c r="D9" s="91">
        <v>32</v>
      </c>
      <c r="E9" s="87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42</v>
      </c>
      <c r="B10" s="237">
        <v>17.100000000000001</v>
      </c>
      <c r="C10" s="12">
        <v>32</v>
      </c>
      <c r="D10" s="72">
        <v>34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32</v>
      </c>
      <c r="B11" s="237">
        <v>13.9</v>
      </c>
      <c r="C11" s="12">
        <v>31</v>
      </c>
      <c r="D11" s="91">
        <v>31</v>
      </c>
      <c r="E11" s="87">
        <v>8.2100000000000009</v>
      </c>
      <c r="F11" s="71">
        <v>8</v>
      </c>
      <c r="G11" s="71">
        <v>1</v>
      </c>
      <c r="H11" s="74">
        <v>390000</v>
      </c>
      <c r="I11" s="75">
        <f t="shared" si="1"/>
        <v>410000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38</v>
      </c>
      <c r="B12" s="237">
        <v>15</v>
      </c>
      <c r="C12" s="72">
        <v>31</v>
      </c>
      <c r="D12" s="72">
        <v>35</v>
      </c>
      <c r="E12" s="87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18</v>
      </c>
      <c r="B13" s="237">
        <v>14.8</v>
      </c>
      <c r="C13" s="71">
        <v>29</v>
      </c>
      <c r="D13" s="72">
        <v>33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30</v>
      </c>
      <c r="B14" s="237">
        <v>11</v>
      </c>
      <c r="C14" s="71">
        <v>27</v>
      </c>
      <c r="D14" s="91">
        <v>34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34</v>
      </c>
      <c r="B15" s="237">
        <v>13.5</v>
      </c>
      <c r="C15" s="72">
        <v>27</v>
      </c>
      <c r="D15" s="72">
        <v>39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14</v>
      </c>
      <c r="B16" s="237">
        <v>12.4</v>
      </c>
      <c r="C16" s="71">
        <v>26</v>
      </c>
      <c r="D16" s="72">
        <v>37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22</v>
      </c>
      <c r="B17" s="237">
        <v>13</v>
      </c>
      <c r="C17" s="71">
        <v>26</v>
      </c>
      <c r="D17" s="91">
        <v>39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44</v>
      </c>
      <c r="B18" s="237">
        <v>15.9</v>
      </c>
      <c r="C18" s="72">
        <v>26</v>
      </c>
      <c r="D18" s="72">
        <v>35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</row>
    <row r="19" spans="1:18" s="80" customFormat="1" ht="18" customHeight="1" x14ac:dyDescent="0.15">
      <c r="A19" s="362" t="s">
        <v>50</v>
      </c>
      <c r="B19" s="237">
        <v>25.1</v>
      </c>
      <c r="C19" s="72">
        <v>24</v>
      </c>
      <c r="D19" s="72">
        <v>37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</row>
    <row r="20" spans="1:18" s="56" customFormat="1" ht="18" customHeight="1" x14ac:dyDescent="0.15">
      <c r="A20" s="362" t="s">
        <v>8</v>
      </c>
      <c r="B20" s="237">
        <v>21.1</v>
      </c>
      <c r="C20" s="71">
        <v>21</v>
      </c>
      <c r="D20" s="91">
        <v>39</v>
      </c>
      <c r="E20" s="87">
        <v>7.35</v>
      </c>
      <c r="F20" s="12"/>
      <c r="G20" s="12"/>
      <c r="H20" s="74">
        <v>150000</v>
      </c>
      <c r="I20" s="75">
        <f t="shared" si="3"/>
        <v>410000</v>
      </c>
    </row>
    <row r="21" spans="1:18" s="56" customFormat="1" ht="18" customHeight="1" x14ac:dyDescent="0.15">
      <c r="A21" s="362" t="s">
        <v>24</v>
      </c>
      <c r="B21" s="237">
        <v>13.8</v>
      </c>
      <c r="C21" s="72">
        <v>19</v>
      </c>
      <c r="D21" s="91">
        <v>41</v>
      </c>
      <c r="E21" s="73"/>
      <c r="F21" s="12"/>
      <c r="G21" s="12"/>
      <c r="H21" s="74">
        <f t="shared" si="2"/>
        <v>50000</v>
      </c>
      <c r="I21" s="75">
        <f t="shared" si="3"/>
        <v>50000</v>
      </c>
    </row>
    <row r="22" spans="1:18" s="56" customFormat="1" ht="18" customHeight="1" x14ac:dyDescent="0.15">
      <c r="A22" s="362"/>
      <c r="B22" s="237"/>
      <c r="C22" s="71"/>
      <c r="D22" s="91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71"/>
      <c r="D24" s="72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1"/>
      <c r="D26" s="72"/>
      <c r="E26" s="73"/>
      <c r="F26" s="71"/>
      <c r="G26" s="71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2"/>
      <c r="D27" s="72"/>
      <c r="E27" s="73"/>
      <c r="F27" s="71"/>
      <c r="G27" s="71"/>
      <c r="H27" s="74">
        <f t="shared" si="2"/>
        <v>0</v>
      </c>
      <c r="I27" s="75"/>
    </row>
    <row r="28" spans="1:18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630</v>
      </c>
      <c r="E29" s="105"/>
      <c r="F29" s="3"/>
      <c r="G29" s="107">
        <f>SUM(G4:G28)</f>
        <v>39</v>
      </c>
      <c r="H29" s="107">
        <f>SUM(H4:H28)</f>
        <v>7560000</v>
      </c>
      <c r="I29" s="108"/>
    </row>
  </sheetData>
  <sheetProtection selectLockedCells="1" selectUnlockedCells="1"/>
  <sortState ref="A4:D28">
    <sortCondition descending="1" ref="C4:C28"/>
    <sortCondition ref="B4:B2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>
    <pageSetUpPr fitToPage="1"/>
  </sheetPr>
  <dimension ref="A1:R30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169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249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14.1</v>
      </c>
      <c r="C4" s="71">
        <v>38</v>
      </c>
      <c r="D4" s="72">
        <v>34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8</v>
      </c>
      <c r="B5" s="237">
        <v>21.5</v>
      </c>
      <c r="C5" s="71">
        <v>37</v>
      </c>
      <c r="D5" s="91">
        <v>36</v>
      </c>
      <c r="E5" s="87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10</v>
      </c>
      <c r="B6" s="237">
        <v>15.2</v>
      </c>
      <c r="C6" s="12">
        <v>36</v>
      </c>
      <c r="D6" s="72">
        <v>30</v>
      </c>
      <c r="E6" s="73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42</v>
      </c>
      <c r="B7" s="237">
        <v>17.100000000000001</v>
      </c>
      <c r="C7" s="71">
        <v>35</v>
      </c>
      <c r="D7" s="91">
        <v>30</v>
      </c>
      <c r="E7" s="87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28</v>
      </c>
      <c r="B8" s="237">
        <v>11.4</v>
      </c>
      <c r="C8" s="72">
        <v>34</v>
      </c>
      <c r="D8" s="72">
        <v>32</v>
      </c>
      <c r="E8" s="291">
        <v>10.8</v>
      </c>
      <c r="F8" s="71">
        <v>5</v>
      </c>
      <c r="G8" s="71">
        <v>4</v>
      </c>
      <c r="H8" s="74">
        <f t="shared" si="0"/>
        <v>1010000</v>
      </c>
      <c r="I8" s="75">
        <f t="shared" si="1"/>
        <v>410000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44</v>
      </c>
      <c r="B9" s="237">
        <v>15.9</v>
      </c>
      <c r="C9" s="72">
        <v>34</v>
      </c>
      <c r="D9" s="72">
        <v>32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24</v>
      </c>
      <c r="B10" s="237">
        <v>13.8</v>
      </c>
      <c r="C10" s="71">
        <v>33</v>
      </c>
      <c r="D10" s="91">
        <v>37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32</v>
      </c>
      <c r="B11" s="237">
        <v>13.8</v>
      </c>
      <c r="C11" s="71">
        <v>32</v>
      </c>
      <c r="D11" s="91">
        <v>33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18</v>
      </c>
      <c r="B12" s="237">
        <v>14.7</v>
      </c>
      <c r="C12" s="71">
        <v>32</v>
      </c>
      <c r="D12" s="72">
        <v>33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30</v>
      </c>
      <c r="B13" s="237">
        <v>10.9</v>
      </c>
      <c r="C13" s="72">
        <v>31</v>
      </c>
      <c r="D13" s="72">
        <v>32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14</v>
      </c>
      <c r="B14" s="237">
        <v>12.3</v>
      </c>
      <c r="C14" s="12">
        <v>31</v>
      </c>
      <c r="D14" s="72">
        <v>35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158</v>
      </c>
      <c r="B15" s="237">
        <v>17.8</v>
      </c>
      <c r="C15" s="72">
        <v>31</v>
      </c>
      <c r="D15" s="91">
        <v>33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48</v>
      </c>
      <c r="B16" s="237">
        <v>8.9</v>
      </c>
      <c r="C16" s="71">
        <v>28</v>
      </c>
      <c r="D16" s="72">
        <v>39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52</v>
      </c>
      <c r="B17" s="237">
        <v>11.8</v>
      </c>
      <c r="C17" s="71">
        <v>28</v>
      </c>
      <c r="D17" s="72">
        <v>37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16</v>
      </c>
      <c r="B18" s="237">
        <v>20.5</v>
      </c>
      <c r="C18" s="71">
        <v>27</v>
      </c>
      <c r="D18" s="72">
        <v>34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  <c r="O18" s="86"/>
      <c r="P18" s="86"/>
      <c r="Q18" s="86"/>
      <c r="R18" s="86"/>
    </row>
    <row r="19" spans="1:18" s="80" customFormat="1" ht="18" customHeight="1" x14ac:dyDescent="0.15">
      <c r="A19" s="362" t="s">
        <v>38</v>
      </c>
      <c r="B19" s="237">
        <v>14.8</v>
      </c>
      <c r="C19" s="71">
        <v>26</v>
      </c>
      <c r="D19" s="72">
        <v>39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  <c r="O19" s="86"/>
      <c r="P19" s="86"/>
      <c r="Q19" s="86"/>
      <c r="R19" s="86"/>
    </row>
    <row r="20" spans="1:18" s="56" customFormat="1" ht="18" customHeight="1" x14ac:dyDescent="0.15">
      <c r="A20" s="362" t="s">
        <v>40</v>
      </c>
      <c r="B20" s="237">
        <v>22.4</v>
      </c>
      <c r="C20" s="72">
        <v>26</v>
      </c>
      <c r="D20" s="72">
        <v>40</v>
      </c>
      <c r="E20" s="87"/>
      <c r="F20" s="12"/>
      <c r="G20" s="12"/>
      <c r="H20" s="74">
        <f t="shared" si="2"/>
        <v>50000</v>
      </c>
      <c r="I20" s="75">
        <f t="shared" si="3"/>
        <v>50000</v>
      </c>
    </row>
    <row r="21" spans="1:18" s="56" customFormat="1" ht="18" customHeight="1" x14ac:dyDescent="0.15">
      <c r="A21" s="362" t="s">
        <v>50</v>
      </c>
      <c r="B21" s="237">
        <v>25</v>
      </c>
      <c r="C21" s="72">
        <v>24</v>
      </c>
      <c r="D21" s="91">
        <v>41</v>
      </c>
      <c r="E21" s="73"/>
      <c r="F21" s="12"/>
      <c r="G21" s="12"/>
      <c r="H21" s="74">
        <f t="shared" si="2"/>
        <v>50000</v>
      </c>
      <c r="I21" s="75">
        <f t="shared" si="3"/>
        <v>50000</v>
      </c>
    </row>
    <row r="22" spans="1:18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91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1"/>
      <c r="D26" s="72"/>
      <c r="E26" s="73"/>
      <c r="F26" s="71"/>
      <c r="G26" s="71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91"/>
      <c r="D27" s="72"/>
      <c r="E27" s="73"/>
      <c r="F27" s="71"/>
      <c r="G27" s="71"/>
      <c r="H27" s="74">
        <f t="shared" si="2"/>
        <v>0</v>
      </c>
      <c r="I27" s="75"/>
    </row>
    <row r="28" spans="1:18" ht="24" customHeight="1" x14ac:dyDescent="0.15">
      <c r="A28" s="362"/>
      <c r="B28" s="237"/>
      <c r="C28" s="71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  <c r="J28" s="56"/>
      <c r="K28" s="56"/>
      <c r="L28" s="56"/>
      <c r="M28" s="56"/>
      <c r="N28" s="56"/>
    </row>
    <row r="29" spans="1:18" ht="15" thickBot="1" x14ac:dyDescent="0.2">
      <c r="A29" s="1"/>
      <c r="B29" s="3"/>
      <c r="C29" s="105"/>
      <c r="D29" s="106">
        <f>SUM(D4:D28)</f>
        <v>627</v>
      </c>
      <c r="E29" s="105"/>
      <c r="F29" s="3"/>
      <c r="G29" s="107">
        <f>SUM(G4:G28)</f>
        <v>39</v>
      </c>
      <c r="H29" s="107">
        <f>SUM(H4:H28)</f>
        <v>7260000</v>
      </c>
      <c r="I29" s="108"/>
    </row>
    <row r="30" spans="1:18" ht="19" thickTop="1" x14ac:dyDescent="0.2"/>
  </sheetData>
  <sheetProtection selectLockedCells="1" selectUnlockedCells="1"/>
  <sortState ref="A4:D21">
    <sortCondition descending="1" ref="C4:C21"/>
    <sortCondition ref="B4:B21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193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248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83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28</v>
      </c>
      <c r="B4" s="237">
        <v>11.4</v>
      </c>
      <c r="C4" s="71">
        <v>35</v>
      </c>
      <c r="D4" s="72">
        <v>33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30</v>
      </c>
      <c r="B5" s="237">
        <v>10.9</v>
      </c>
      <c r="C5" s="71">
        <v>34</v>
      </c>
      <c r="D5" s="91">
        <v>33</v>
      </c>
      <c r="E5" s="87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18</v>
      </c>
      <c r="B6" s="237">
        <v>14.7</v>
      </c>
      <c r="C6" s="12">
        <v>33</v>
      </c>
      <c r="D6" s="72">
        <v>28</v>
      </c>
      <c r="E6" s="73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14</v>
      </c>
      <c r="B7" s="237">
        <v>12.2</v>
      </c>
      <c r="C7" s="71">
        <v>31</v>
      </c>
      <c r="D7" s="91">
        <v>29</v>
      </c>
      <c r="E7" s="87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8</v>
      </c>
      <c r="B8" s="237">
        <v>21.4</v>
      </c>
      <c r="C8" s="71">
        <v>30</v>
      </c>
      <c r="D8" s="72">
        <v>37</v>
      </c>
      <c r="E8" s="291">
        <v>5.36</v>
      </c>
      <c r="F8" s="71">
        <v>5</v>
      </c>
      <c r="G8" s="71">
        <v>4</v>
      </c>
      <c r="H8" s="74">
        <f t="shared" si="0"/>
        <v>1010000</v>
      </c>
      <c r="I8" s="75">
        <f t="shared" si="1"/>
        <v>410000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34</v>
      </c>
      <c r="B9" s="237">
        <v>14</v>
      </c>
      <c r="C9" s="71">
        <v>29</v>
      </c>
      <c r="D9" s="72">
        <v>35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10</v>
      </c>
      <c r="B10" s="237">
        <v>14.9</v>
      </c>
      <c r="C10" s="71">
        <v>29</v>
      </c>
      <c r="D10" s="91">
        <v>35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42</v>
      </c>
      <c r="B11" s="237">
        <v>17</v>
      </c>
      <c r="C11" s="71">
        <v>29</v>
      </c>
      <c r="D11" s="72">
        <v>40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26</v>
      </c>
      <c r="B12" s="237">
        <v>23.9</v>
      </c>
      <c r="C12" s="12">
        <v>29</v>
      </c>
      <c r="D12" s="91">
        <v>33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16</v>
      </c>
      <c r="B13" s="237">
        <v>20.399999999999999</v>
      </c>
      <c r="C13" s="71">
        <v>28</v>
      </c>
      <c r="D13" s="72">
        <v>33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38</v>
      </c>
      <c r="B14" s="237">
        <v>14.7</v>
      </c>
      <c r="C14" s="71">
        <v>27</v>
      </c>
      <c r="D14" s="72">
        <v>34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158</v>
      </c>
      <c r="B15" s="237">
        <v>17.7</v>
      </c>
      <c r="C15" s="72">
        <v>26</v>
      </c>
      <c r="D15" s="91">
        <v>38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44</v>
      </c>
      <c r="B16" s="237">
        <v>15.8</v>
      </c>
      <c r="C16" s="72">
        <v>23</v>
      </c>
      <c r="D16" s="72">
        <v>42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40</v>
      </c>
      <c r="B17" s="237">
        <v>22.3</v>
      </c>
      <c r="C17" s="72">
        <v>23</v>
      </c>
      <c r="D17" s="72">
        <v>41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/>
      <c r="B18" s="237"/>
      <c r="C18" s="71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71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2"/>
      <c r="D20" s="72"/>
      <c r="E20" s="87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362"/>
      <c r="B21" s="237"/>
      <c r="C21" s="72"/>
      <c r="D21" s="91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8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9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91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1"/>
      <c r="D26" s="72"/>
      <c r="E26" s="73"/>
      <c r="F26" s="71"/>
      <c r="G26" s="71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2"/>
      <c r="D27" s="72"/>
      <c r="E27" s="73"/>
      <c r="F27" s="71"/>
      <c r="G27" s="71"/>
      <c r="H27" s="74">
        <f t="shared" si="2"/>
        <v>0</v>
      </c>
      <c r="I27" s="75"/>
    </row>
    <row r="28" spans="1:18" s="56" customFormat="1" ht="18" customHeight="1" x14ac:dyDescent="0.15">
      <c r="A28" s="362"/>
      <c r="B28" s="237"/>
      <c r="C28" s="71"/>
      <c r="D28" s="72"/>
      <c r="E28" s="87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491</v>
      </c>
      <c r="E29" s="105"/>
      <c r="F29" s="3"/>
      <c r="G29" s="107">
        <f>SUM(G4:G28)</f>
        <v>39</v>
      </c>
      <c r="H29" s="107">
        <f>SUM(H4:H28)</f>
        <v>7060000</v>
      </c>
      <c r="I29" s="108"/>
    </row>
  </sheetData>
  <sheetProtection selectLockedCells="1" selectUnlockedCells="1"/>
  <sortState ref="A4:C23">
    <sortCondition descending="1" ref="C4:C23"/>
    <sortCondition ref="B4:B23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107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247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105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30</v>
      </c>
      <c r="B4" s="237">
        <v>10.9</v>
      </c>
      <c r="C4" s="71">
        <v>72</v>
      </c>
      <c r="D4" s="72">
        <v>32</v>
      </c>
      <c r="E4" s="73">
        <v>8.08</v>
      </c>
      <c r="F4" s="71">
        <v>1</v>
      </c>
      <c r="G4" s="71">
        <v>10</v>
      </c>
      <c r="H4" s="74">
        <f t="shared" ref="H4:H10" si="0">N4+I4</f>
        <v>2530000</v>
      </c>
      <c r="I4" s="75">
        <f t="shared" ref="I4:I11" si="1">IF(E4&gt;0,$N$13,0)+IF(C4&gt;0,50000,0)+IF(C12&lt;0,50000,0)</f>
        <v>530000</v>
      </c>
      <c r="J4" s="76" t="s">
        <v>86</v>
      </c>
      <c r="K4" s="77"/>
      <c r="L4" s="78"/>
      <c r="M4" s="79">
        <v>10</v>
      </c>
      <c r="N4" s="74">
        <f>N12*25%</f>
        <v>2000000</v>
      </c>
    </row>
    <row r="5" spans="1:18" s="80" customFormat="1" ht="18" customHeight="1" x14ac:dyDescent="0.15">
      <c r="A5" s="362" t="s">
        <v>10</v>
      </c>
      <c r="B5" s="237">
        <v>14.8</v>
      </c>
      <c r="C5" s="71">
        <v>77</v>
      </c>
      <c r="D5" s="72">
        <v>35</v>
      </c>
      <c r="E5" s="73"/>
      <c r="F5" s="71">
        <v>2</v>
      </c>
      <c r="G5" s="71">
        <v>8</v>
      </c>
      <c r="H5" s="74">
        <f t="shared" si="0"/>
        <v>1650000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1600000</v>
      </c>
    </row>
    <row r="6" spans="1:18" s="80" customFormat="1" ht="18" customHeight="1" x14ac:dyDescent="0.15">
      <c r="A6" s="362" t="s">
        <v>34</v>
      </c>
      <c r="B6" s="237">
        <v>13.9</v>
      </c>
      <c r="C6" s="71">
        <v>80</v>
      </c>
      <c r="D6" s="72">
        <v>31</v>
      </c>
      <c r="E6" s="73"/>
      <c r="F6" s="12">
        <v>3</v>
      </c>
      <c r="G6" s="12">
        <v>6</v>
      </c>
      <c r="H6" s="74">
        <f t="shared" si="0"/>
        <v>1250000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1200000</v>
      </c>
      <c r="Q6" s="114"/>
    </row>
    <row r="7" spans="1:18" s="80" customFormat="1" ht="18" customHeight="1" x14ac:dyDescent="0.15">
      <c r="A7" s="362" t="s">
        <v>48</v>
      </c>
      <c r="B7" s="237">
        <v>8.8000000000000007</v>
      </c>
      <c r="C7" s="71">
        <v>81</v>
      </c>
      <c r="D7" s="91">
        <v>31</v>
      </c>
      <c r="E7" s="73"/>
      <c r="F7" s="71">
        <v>4</v>
      </c>
      <c r="G7" s="71">
        <v>5</v>
      </c>
      <c r="H7" s="74">
        <f t="shared" si="0"/>
        <v>1010000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960000</v>
      </c>
      <c r="O7" s="85"/>
      <c r="P7" s="85"/>
      <c r="Q7" s="85"/>
      <c r="R7" s="86"/>
    </row>
    <row r="8" spans="1:18" s="80" customFormat="1" ht="18" customHeight="1" x14ac:dyDescent="0.15">
      <c r="A8" s="362" t="s">
        <v>26</v>
      </c>
      <c r="B8" s="237">
        <v>23.8</v>
      </c>
      <c r="C8" s="91">
        <v>91</v>
      </c>
      <c r="D8" s="91">
        <v>36</v>
      </c>
      <c r="E8" s="73"/>
      <c r="F8" s="71">
        <v>5</v>
      </c>
      <c r="G8" s="71">
        <v>4</v>
      </c>
      <c r="H8" s="74">
        <f t="shared" si="0"/>
        <v>850000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800000</v>
      </c>
    </row>
    <row r="9" spans="1:18" s="80" customFormat="1" ht="18" customHeight="1" x14ac:dyDescent="0.15">
      <c r="A9" s="362" t="s">
        <v>38</v>
      </c>
      <c r="B9" s="237">
        <v>14.6</v>
      </c>
      <c r="C9" s="72">
        <v>94</v>
      </c>
      <c r="D9" s="72">
        <v>36</v>
      </c>
      <c r="E9" s="73"/>
      <c r="F9" s="88">
        <v>6</v>
      </c>
      <c r="G9" s="88">
        <v>3</v>
      </c>
      <c r="H9" s="74">
        <f t="shared" si="0"/>
        <v>690000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640000</v>
      </c>
    </row>
    <row r="10" spans="1:18" s="80" customFormat="1" ht="18" customHeight="1" x14ac:dyDescent="0.15">
      <c r="A10" s="362" t="s">
        <v>16</v>
      </c>
      <c r="B10" s="237">
        <v>20.3</v>
      </c>
      <c r="C10" s="71">
        <v>94</v>
      </c>
      <c r="D10" s="72">
        <v>30</v>
      </c>
      <c r="E10" s="73"/>
      <c r="F10" s="71">
        <v>7</v>
      </c>
      <c r="G10" s="71">
        <v>2</v>
      </c>
      <c r="H10" s="74">
        <f t="shared" si="0"/>
        <v>530000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480000</v>
      </c>
    </row>
    <row r="11" spans="1:18" s="80" customFormat="1" ht="18" customHeight="1" x14ac:dyDescent="0.15">
      <c r="A11" s="362" t="s">
        <v>32</v>
      </c>
      <c r="B11" s="237">
        <v>13.7</v>
      </c>
      <c r="C11" s="71" t="s">
        <v>215</v>
      </c>
      <c r="D11" s="91" t="s">
        <v>99</v>
      </c>
      <c r="E11" s="73"/>
      <c r="F11" s="71"/>
      <c r="G11" s="71"/>
      <c r="H11" s="74">
        <v>50000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320000</v>
      </c>
      <c r="Q11" s="114"/>
    </row>
    <row r="12" spans="1:18" s="80" customFormat="1" ht="18" customHeight="1" x14ac:dyDescent="0.15">
      <c r="A12" s="362" t="s">
        <v>24</v>
      </c>
      <c r="B12" s="237">
        <v>13.8</v>
      </c>
      <c r="C12" s="71" t="s">
        <v>215</v>
      </c>
      <c r="D12" s="91" t="s">
        <v>99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8000000</v>
      </c>
    </row>
    <row r="13" spans="1:18" s="80" customFormat="1" ht="18" customHeight="1" x14ac:dyDescent="0.15">
      <c r="A13" s="362" t="s">
        <v>42</v>
      </c>
      <c r="B13" s="237">
        <v>17</v>
      </c>
      <c r="C13" s="71" t="s">
        <v>215</v>
      </c>
      <c r="D13" s="91" t="s">
        <v>99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480000</v>
      </c>
    </row>
    <row r="14" spans="1:18" s="80" customFormat="1" ht="18" customHeight="1" x14ac:dyDescent="0.15">
      <c r="A14" s="362" t="s">
        <v>158</v>
      </c>
      <c r="B14" s="237">
        <v>17.7</v>
      </c>
      <c r="C14" s="71" t="s">
        <v>215</v>
      </c>
      <c r="D14" s="91" t="s">
        <v>99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36</v>
      </c>
      <c r="B15" s="237">
        <v>19.2</v>
      </c>
      <c r="C15" s="71" t="s">
        <v>215</v>
      </c>
      <c r="D15" s="91" t="s">
        <v>99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40</v>
      </c>
      <c r="B16" s="237">
        <v>22.3</v>
      </c>
      <c r="C16" s="71" t="s">
        <v>215</v>
      </c>
      <c r="D16" s="91" t="s">
        <v>99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/>
      <c r="B17" s="237"/>
      <c r="C17" s="72"/>
      <c r="D17" s="72"/>
      <c r="E17" s="87"/>
      <c r="F17" s="12"/>
      <c r="G17" s="12"/>
      <c r="H17" s="74">
        <f t="shared" si="2"/>
        <v>0</v>
      </c>
      <c r="I17" s="75">
        <f t="shared" si="3"/>
        <v>0</v>
      </c>
      <c r="O17" s="85"/>
      <c r="P17" s="85"/>
      <c r="Q17" s="85"/>
      <c r="R17" s="86"/>
    </row>
    <row r="18" spans="1:18" s="80" customFormat="1" ht="18" customHeight="1" x14ac:dyDescent="0.15">
      <c r="A18" s="362"/>
      <c r="B18" s="237"/>
      <c r="C18" s="71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71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8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9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8" s="56" customFormat="1" ht="18" customHeight="1" x14ac:dyDescent="0.15">
      <c r="A24" s="362"/>
      <c r="B24" s="237"/>
      <c r="C24" s="72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8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1"/>
      <c r="D26" s="72"/>
      <c r="E26" s="73"/>
      <c r="F26" s="12"/>
      <c r="G26" s="12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1"/>
      <c r="D27" s="91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8" s="56" customFormat="1" ht="18" customHeight="1" x14ac:dyDescent="0.15">
      <c r="A28" s="149"/>
      <c r="B28" s="181"/>
      <c r="C28" s="71"/>
      <c r="D28" s="91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231</v>
      </c>
      <c r="E29" s="105"/>
      <c r="F29" s="3"/>
      <c r="G29" s="107">
        <f>SUM(G4:G28)</f>
        <v>38</v>
      </c>
      <c r="H29" s="107">
        <f>SUM(H4:H28)</f>
        <v>8810000</v>
      </c>
      <c r="I29" s="108"/>
    </row>
  </sheetData>
  <sheetProtection selectLockedCells="1" selectUnlockedCells="1"/>
  <sortState ref="A4:C16">
    <sortCondition ref="C4:C16"/>
    <sortCondition ref="B4:B16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7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108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245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121" customFormat="1" ht="27" customHeight="1" x14ac:dyDescent="0.15">
      <c r="A3" s="115" t="s">
        <v>77</v>
      </c>
      <c r="B3" s="116" t="s">
        <v>78</v>
      </c>
      <c r="C3" s="116" t="s">
        <v>83</v>
      </c>
      <c r="D3" s="116" t="s">
        <v>80</v>
      </c>
      <c r="E3" s="116" t="s">
        <v>81</v>
      </c>
      <c r="F3" s="117" t="s">
        <v>82</v>
      </c>
      <c r="G3" s="118" t="s">
        <v>83</v>
      </c>
      <c r="H3" s="119" t="s">
        <v>84</v>
      </c>
      <c r="I3" s="120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10</v>
      </c>
      <c r="B4" s="237">
        <v>15.4</v>
      </c>
      <c r="C4" s="71">
        <v>38</v>
      </c>
      <c r="D4" s="91">
        <v>28</v>
      </c>
      <c r="E4" s="87"/>
      <c r="F4" s="71">
        <v>1</v>
      </c>
      <c r="G4" s="71">
        <v>10</v>
      </c>
      <c r="H4" s="74">
        <f t="shared" ref="H4:H11" si="0">N4+I4</f>
        <v>1550000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147</v>
      </c>
      <c r="B5" s="237">
        <v>10.9</v>
      </c>
      <c r="C5" s="71">
        <v>37</v>
      </c>
      <c r="D5" s="72">
        <v>29</v>
      </c>
      <c r="E5" s="87" t="s">
        <v>246</v>
      </c>
      <c r="F5" s="71">
        <v>2</v>
      </c>
      <c r="G5" s="71">
        <v>8</v>
      </c>
      <c r="H5" s="74">
        <v>1710000</v>
      </c>
      <c r="I5" s="75">
        <f t="shared" ref="I5:I11" si="1">IF(E5&gt;0,$N$13,0)+IF(C5&gt;0,50000,0)+IF(C13&lt;0,50000,0)</f>
        <v>410000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18</v>
      </c>
      <c r="B6" s="237">
        <v>15.3</v>
      </c>
      <c r="C6" s="71">
        <v>37</v>
      </c>
      <c r="D6" s="72">
        <v>30</v>
      </c>
      <c r="E6" s="73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40</v>
      </c>
      <c r="B7" s="237">
        <v>22.7</v>
      </c>
      <c r="C7" s="71">
        <v>37</v>
      </c>
      <c r="D7" s="72">
        <v>35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52</v>
      </c>
      <c r="B8" s="237">
        <v>11.7</v>
      </c>
      <c r="C8" s="72">
        <v>35</v>
      </c>
      <c r="D8" s="91">
        <v>34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14</v>
      </c>
      <c r="B9" s="237">
        <v>12.1</v>
      </c>
      <c r="C9" s="12">
        <v>35</v>
      </c>
      <c r="D9" s="72">
        <v>30</v>
      </c>
      <c r="E9" s="73"/>
      <c r="F9" s="88">
        <v>6</v>
      </c>
      <c r="G9" s="88">
        <v>3</v>
      </c>
      <c r="H9" s="74">
        <f t="shared" si="0"/>
        <v>530000</v>
      </c>
      <c r="I9" s="75">
        <f>IF(E9&gt;0,$N$13,0)+IF(C9&gt;0,50000,0)+IF(C17&lt;0,50000,0)</f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22</v>
      </c>
      <c r="B10" s="237">
        <v>13</v>
      </c>
      <c r="C10" s="72">
        <v>35</v>
      </c>
      <c r="D10" s="91">
        <v>32</v>
      </c>
      <c r="E10" s="73">
        <v>7.87</v>
      </c>
      <c r="F10" s="71">
        <v>7</v>
      </c>
      <c r="G10" s="71">
        <v>2</v>
      </c>
      <c r="H10" s="74">
        <v>510000</v>
      </c>
      <c r="I10" s="75">
        <f t="shared" si="1"/>
        <v>410000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12</v>
      </c>
      <c r="B11" s="237">
        <v>15.2</v>
      </c>
      <c r="C11" s="71">
        <v>35</v>
      </c>
      <c r="D11" s="72">
        <v>32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28</v>
      </c>
      <c r="B12" s="237">
        <v>11.3</v>
      </c>
      <c r="C12" s="12">
        <v>34</v>
      </c>
      <c r="D12" s="91">
        <v>31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8</v>
      </c>
      <c r="B13" s="237">
        <v>21.4</v>
      </c>
      <c r="C13" s="72">
        <v>34</v>
      </c>
      <c r="D13" s="72">
        <v>36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30</v>
      </c>
      <c r="B14" s="237">
        <v>10.8</v>
      </c>
      <c r="C14" s="71">
        <v>33</v>
      </c>
      <c r="D14" s="72">
        <v>32</v>
      </c>
      <c r="E14" s="87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38</v>
      </c>
      <c r="B15" s="237">
        <v>14.5</v>
      </c>
      <c r="C15" s="71">
        <v>33</v>
      </c>
      <c r="D15" s="72">
        <v>36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26</v>
      </c>
      <c r="B16" s="237">
        <v>23.8</v>
      </c>
      <c r="C16" s="71">
        <v>33</v>
      </c>
      <c r="D16" s="72">
        <v>33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16</v>
      </c>
      <c r="B17" s="237">
        <v>20.2</v>
      </c>
      <c r="C17" s="72">
        <v>32</v>
      </c>
      <c r="D17" s="91">
        <v>35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34</v>
      </c>
      <c r="B18" s="237">
        <v>13.8</v>
      </c>
      <c r="C18" s="71">
        <v>31</v>
      </c>
      <c r="D18" s="72">
        <v>36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</row>
    <row r="19" spans="1:18" s="80" customFormat="1" ht="18" customHeight="1" x14ac:dyDescent="0.15">
      <c r="A19" s="362" t="s">
        <v>20</v>
      </c>
      <c r="B19" s="237">
        <v>17.100000000000001</v>
      </c>
      <c r="C19" s="71">
        <v>31</v>
      </c>
      <c r="D19" s="91">
        <v>34</v>
      </c>
      <c r="E19" s="87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</row>
    <row r="20" spans="1:18" s="56" customFormat="1" ht="18" customHeight="1" x14ac:dyDescent="0.15">
      <c r="A20" s="362" t="s">
        <v>32</v>
      </c>
      <c r="B20" s="237">
        <v>13.5</v>
      </c>
      <c r="C20" s="72">
        <v>30</v>
      </c>
      <c r="D20" s="72">
        <v>35</v>
      </c>
      <c r="E20" s="73"/>
      <c r="F20" s="12"/>
      <c r="G20" s="12"/>
      <c r="H20" s="74">
        <f t="shared" si="2"/>
        <v>50000</v>
      </c>
      <c r="I20" s="75">
        <f t="shared" si="3"/>
        <v>50000</v>
      </c>
    </row>
    <row r="21" spans="1:18" s="56" customFormat="1" ht="18" customHeight="1" x14ac:dyDescent="0.15">
      <c r="A21" s="362" t="s">
        <v>158</v>
      </c>
      <c r="B21" s="237">
        <v>17.600000000000001</v>
      </c>
      <c r="C21" s="72">
        <v>29</v>
      </c>
      <c r="D21" s="72">
        <v>33</v>
      </c>
      <c r="E21" s="87">
        <v>6.1</v>
      </c>
      <c r="F21" s="12"/>
      <c r="G21" s="12"/>
      <c r="H21" s="74">
        <v>150000</v>
      </c>
      <c r="I21" s="75">
        <f t="shared" si="3"/>
        <v>410000</v>
      </c>
    </row>
    <row r="22" spans="1:18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/>
    </row>
    <row r="24" spans="1:18" s="56" customFormat="1" ht="18" customHeight="1" x14ac:dyDescent="0.15">
      <c r="A24" s="362"/>
      <c r="B24" s="237"/>
      <c r="C24" s="91"/>
      <c r="D24" s="72"/>
      <c r="E24" s="73"/>
      <c r="F24" s="12"/>
      <c r="G24" s="12"/>
      <c r="H24" s="74">
        <f t="shared" si="2"/>
        <v>0</v>
      </c>
      <c r="I24" s="75">
        <f>IF(E24&gt;0,$N$13,0)+IF(C24&gt;0,50000,0)+IF(C24&lt;0,50000,0)</f>
        <v>0</v>
      </c>
    </row>
    <row r="25" spans="1:18" s="56" customFormat="1" ht="18" customHeight="1" x14ac:dyDescent="0.15">
      <c r="A25" s="362"/>
      <c r="B25" s="237"/>
      <c r="C25" s="91"/>
      <c r="D25" s="72"/>
      <c r="E25" s="87"/>
      <c r="F25" s="12"/>
      <c r="G25" s="12"/>
      <c r="H25" s="74">
        <f t="shared" si="2"/>
        <v>0</v>
      </c>
      <c r="I25" s="75">
        <f t="shared" si="3"/>
        <v>0</v>
      </c>
    </row>
    <row r="26" spans="1:18" s="56" customFormat="1" ht="18" customHeight="1" x14ac:dyDescent="0.15">
      <c r="A26" s="362"/>
      <c r="B26" s="237"/>
      <c r="C26" s="71"/>
      <c r="D26" s="91"/>
      <c r="E26" s="73"/>
      <c r="F26" s="12"/>
      <c r="G26" s="12"/>
      <c r="H26" s="74">
        <f t="shared" si="2"/>
        <v>0</v>
      </c>
      <c r="I26" s="75">
        <f t="shared" si="3"/>
        <v>0</v>
      </c>
    </row>
    <row r="27" spans="1:18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8" s="56" customFormat="1" ht="18" customHeight="1" x14ac:dyDescent="0.15">
      <c r="A28" s="362"/>
      <c r="B28" s="237"/>
      <c r="C28" s="71"/>
      <c r="D28" s="91"/>
      <c r="E28" s="87"/>
      <c r="F28" s="71"/>
      <c r="G28" s="71"/>
      <c r="H28" s="74">
        <f t="shared" si="2"/>
        <v>0</v>
      </c>
      <c r="I28" s="75">
        <f t="shared" si="3"/>
        <v>0</v>
      </c>
    </row>
    <row r="29" spans="1:18" ht="24" customHeight="1" x14ac:dyDescent="0.15">
      <c r="A29" s="1"/>
      <c r="B29" s="3"/>
      <c r="C29" s="105"/>
      <c r="D29" s="106">
        <f>SUM(D4:D28)</f>
        <v>591</v>
      </c>
      <c r="E29" s="105"/>
      <c r="F29" s="3"/>
      <c r="G29" s="107">
        <f>SUM(G4:G28)</f>
        <v>39</v>
      </c>
      <c r="H29" s="107">
        <f>SUM(H4:H28)</f>
        <v>7560000</v>
      </c>
      <c r="I29" s="108"/>
    </row>
  </sheetData>
  <sheetProtection selectLockedCells="1" selectUnlockedCells="1"/>
  <sortState ref="A4:E21">
    <sortCondition descending="1" ref="C4:C21"/>
    <sortCondition ref="B4:B21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9">
    <pageSetUpPr fitToPage="1"/>
  </sheetPr>
  <dimension ref="A1:R28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226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229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83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10</v>
      </c>
      <c r="B4" s="237">
        <v>15.4</v>
      </c>
      <c r="C4" s="71">
        <v>33</v>
      </c>
      <c r="D4" s="72">
        <v>33</v>
      </c>
      <c r="E4" s="73"/>
      <c r="F4" s="71">
        <v>1</v>
      </c>
      <c r="G4" s="71">
        <v>10</v>
      </c>
      <c r="H4" s="74">
        <f t="shared" ref="H4:H11" si="0">N4+I4</f>
        <v>1300000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1250000</v>
      </c>
    </row>
    <row r="5" spans="1:18" s="80" customFormat="1" ht="18" customHeight="1" x14ac:dyDescent="0.15">
      <c r="A5" s="362" t="s">
        <v>48</v>
      </c>
      <c r="B5" s="237">
        <v>8.6</v>
      </c>
      <c r="C5" s="71">
        <v>32</v>
      </c>
      <c r="D5" s="72">
        <v>30</v>
      </c>
      <c r="E5" s="73"/>
      <c r="F5" s="71">
        <v>2</v>
      </c>
      <c r="G5" s="71">
        <v>8</v>
      </c>
      <c r="H5" s="74">
        <f t="shared" si="0"/>
        <v>1050000</v>
      </c>
      <c r="I5" s="75">
        <f t="shared" ref="I5:I11" si="1"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1000000</v>
      </c>
    </row>
    <row r="6" spans="1:18" s="80" customFormat="1" ht="18" customHeight="1" x14ac:dyDescent="0.15">
      <c r="A6" s="362" t="s">
        <v>28</v>
      </c>
      <c r="B6" s="237">
        <v>12.2</v>
      </c>
      <c r="C6" s="72">
        <v>32</v>
      </c>
      <c r="D6" s="72">
        <v>35</v>
      </c>
      <c r="E6" s="73">
        <v>4.6500000000000004</v>
      </c>
      <c r="F6" s="12">
        <v>3</v>
      </c>
      <c r="G6" s="12">
        <v>6</v>
      </c>
      <c r="H6" s="74">
        <f t="shared" si="0"/>
        <v>1100000</v>
      </c>
      <c r="I6" s="75">
        <f t="shared" si="1"/>
        <v>350000</v>
      </c>
      <c r="J6" s="81" t="s">
        <v>88</v>
      </c>
      <c r="K6" s="82"/>
      <c r="L6" s="83"/>
      <c r="M6" s="84">
        <v>6</v>
      </c>
      <c r="N6" s="74">
        <f>N12*15%</f>
        <v>750000</v>
      </c>
    </row>
    <row r="7" spans="1:18" s="80" customFormat="1" ht="18" customHeight="1" x14ac:dyDescent="0.15">
      <c r="A7" s="362" t="s">
        <v>36</v>
      </c>
      <c r="B7" s="237">
        <v>19.2</v>
      </c>
      <c r="C7" s="71">
        <v>31</v>
      </c>
      <c r="D7" s="91">
        <v>36</v>
      </c>
      <c r="E7" s="87"/>
      <c r="F7" s="71">
        <v>4</v>
      </c>
      <c r="G7" s="71">
        <v>5</v>
      </c>
      <c r="H7" s="74">
        <f t="shared" si="0"/>
        <v>650000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600000</v>
      </c>
      <c r="O7" s="85"/>
      <c r="P7" s="85"/>
      <c r="Q7" s="85"/>
      <c r="R7" s="86"/>
    </row>
    <row r="8" spans="1:18" s="80" customFormat="1" ht="18" customHeight="1" x14ac:dyDescent="0.15">
      <c r="A8" s="362" t="s">
        <v>30</v>
      </c>
      <c r="B8" s="237">
        <v>10.7</v>
      </c>
      <c r="C8" s="71">
        <v>30</v>
      </c>
      <c r="D8" s="72">
        <v>32</v>
      </c>
      <c r="E8" s="73"/>
      <c r="F8" s="71">
        <v>5</v>
      </c>
      <c r="G8" s="71">
        <v>4</v>
      </c>
      <c r="H8" s="74">
        <f t="shared" si="0"/>
        <v>550000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500000</v>
      </c>
    </row>
    <row r="9" spans="1:18" s="80" customFormat="1" ht="18" customHeight="1" x14ac:dyDescent="0.15">
      <c r="A9" s="362" t="s">
        <v>40</v>
      </c>
      <c r="B9" s="237">
        <v>22.6</v>
      </c>
      <c r="C9" s="72">
        <v>29</v>
      </c>
      <c r="D9" s="91">
        <v>38</v>
      </c>
      <c r="E9" s="87">
        <v>6.46</v>
      </c>
      <c r="F9" s="88">
        <v>6</v>
      </c>
      <c r="G9" s="88">
        <v>3</v>
      </c>
      <c r="H9" s="74">
        <f t="shared" si="0"/>
        <v>750000</v>
      </c>
      <c r="I9" s="75">
        <f>IF(E9&gt;0,$N$13,0)+IF(C9&gt;0,50000,0)+IF(C17&lt;0,50000,0)</f>
        <v>350000</v>
      </c>
      <c r="J9" s="81" t="s">
        <v>91</v>
      </c>
      <c r="K9" s="82"/>
      <c r="L9" s="83"/>
      <c r="M9" s="84">
        <v>3</v>
      </c>
      <c r="N9" s="74">
        <f>N12*8%</f>
        <v>400000</v>
      </c>
    </row>
    <row r="10" spans="1:18" s="80" customFormat="1" ht="18" customHeight="1" x14ac:dyDescent="0.15">
      <c r="A10" s="362" t="s">
        <v>18</v>
      </c>
      <c r="B10" s="237">
        <v>15.2</v>
      </c>
      <c r="C10" s="12">
        <v>26</v>
      </c>
      <c r="D10" s="72">
        <v>39</v>
      </c>
      <c r="E10" s="73"/>
      <c r="F10" s="71">
        <v>7</v>
      </c>
      <c r="G10" s="71">
        <v>2</v>
      </c>
      <c r="H10" s="74">
        <f t="shared" si="0"/>
        <v>350000</v>
      </c>
      <c r="I10" s="75">
        <f>IF(E10&gt;0,$N$13,0)+IF(C10&gt;0,50000,0)+IF(C18&lt;0,50000,0)</f>
        <v>50000</v>
      </c>
      <c r="J10" s="81" t="s">
        <v>92</v>
      </c>
      <c r="K10" s="82"/>
      <c r="L10" s="83"/>
      <c r="M10" s="84">
        <v>2</v>
      </c>
      <c r="N10" s="74">
        <f>N12*6%</f>
        <v>300000</v>
      </c>
    </row>
    <row r="11" spans="1:18" s="80" customFormat="1" ht="18" customHeight="1" x14ac:dyDescent="0.15">
      <c r="A11" s="362" t="s">
        <v>16</v>
      </c>
      <c r="B11" s="237">
        <v>20.100000000000001</v>
      </c>
      <c r="C11" s="71">
        <v>26</v>
      </c>
      <c r="D11" s="91">
        <v>43</v>
      </c>
      <c r="E11" s="87"/>
      <c r="F11" s="71">
        <v>8</v>
      </c>
      <c r="G11" s="71">
        <v>1</v>
      </c>
      <c r="H11" s="74">
        <f t="shared" si="0"/>
        <v>250000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200000</v>
      </c>
    </row>
    <row r="12" spans="1:18" s="80" customFormat="1" ht="18" customHeight="1" x14ac:dyDescent="0.15">
      <c r="A12" s="362" t="s">
        <v>38</v>
      </c>
      <c r="B12" s="237">
        <v>14.4</v>
      </c>
      <c r="C12" s="71">
        <v>22</v>
      </c>
      <c r="D12" s="91">
        <v>41</v>
      </c>
      <c r="E12" s="87"/>
      <c r="F12" s="71"/>
      <c r="G12" s="71"/>
      <c r="H12" s="74">
        <f t="shared" ref="H12:H20" si="2">I12</f>
        <v>50000</v>
      </c>
      <c r="I12" s="75">
        <f>IF(E12&gt;0,$N$13,0)+IF(C12&gt;0,50000,0)+IF(C12&lt;0,50000,0)</f>
        <v>50000</v>
      </c>
      <c r="J12" s="89" t="s">
        <v>94</v>
      </c>
      <c r="K12" s="82"/>
      <c r="L12" s="83"/>
      <c r="M12" s="84"/>
      <c r="N12" s="90">
        <v>5000000</v>
      </c>
    </row>
    <row r="13" spans="1:18" s="80" customFormat="1" ht="18" customHeight="1" x14ac:dyDescent="0.15">
      <c r="A13" s="362" t="s">
        <v>14</v>
      </c>
      <c r="B13" s="237">
        <v>12</v>
      </c>
      <c r="C13" s="91">
        <v>21</v>
      </c>
      <c r="D13" s="91">
        <v>42</v>
      </c>
      <c r="E13" s="73" t="s">
        <v>233</v>
      </c>
      <c r="F13" s="71"/>
      <c r="G13" s="71"/>
      <c r="H13" s="74">
        <f t="shared" si="2"/>
        <v>350000</v>
      </c>
      <c r="I13" s="75">
        <f t="shared" ref="I13:I27" si="3">IF(E13&gt;0,$N$13,0)+IF(C13&gt;0,50000,0)+IF(C13&lt;0,50000,0)</f>
        <v>350000</v>
      </c>
      <c r="J13" s="92" t="s">
        <v>95</v>
      </c>
      <c r="K13" s="93"/>
      <c r="L13" s="94"/>
      <c r="M13" s="95">
        <v>1</v>
      </c>
      <c r="N13" s="96">
        <f>N10</f>
        <v>300000</v>
      </c>
    </row>
    <row r="14" spans="1:18" s="80" customFormat="1" ht="18" customHeight="1" x14ac:dyDescent="0.15">
      <c r="A14" s="362" t="s">
        <v>26</v>
      </c>
      <c r="B14" s="237">
        <v>23.7</v>
      </c>
      <c r="C14" s="71">
        <v>17</v>
      </c>
      <c r="D14" s="72">
        <v>43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34</v>
      </c>
      <c r="B15" s="237">
        <v>13.7</v>
      </c>
      <c r="C15" s="71">
        <v>16</v>
      </c>
      <c r="D15" s="72">
        <v>46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42</v>
      </c>
      <c r="B16" s="237">
        <v>16.899999999999999</v>
      </c>
      <c r="C16" s="72">
        <v>16</v>
      </c>
      <c r="D16" s="91">
        <v>44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8" s="80" customFormat="1" ht="18" customHeight="1" x14ac:dyDescent="0.15">
      <c r="A17" s="362" t="s">
        <v>46</v>
      </c>
      <c r="B17" s="237">
        <v>22.8</v>
      </c>
      <c r="C17" s="71">
        <v>16</v>
      </c>
      <c r="D17" s="72">
        <v>44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O17" s="85"/>
      <c r="P17" s="85"/>
      <c r="Q17" s="85"/>
      <c r="R17" s="86"/>
    </row>
    <row r="18" spans="1:18" s="80" customFormat="1" ht="18" customHeight="1" x14ac:dyDescent="0.15">
      <c r="A18" s="149" t="s">
        <v>230</v>
      </c>
      <c r="B18" s="237">
        <v>11</v>
      </c>
      <c r="C18" s="71">
        <v>27</v>
      </c>
      <c r="D18" s="72">
        <v>39</v>
      </c>
      <c r="E18" s="73">
        <v>17</v>
      </c>
      <c r="F18" s="71"/>
      <c r="G18" s="71"/>
      <c r="H18" s="74" t="s">
        <v>234</v>
      </c>
      <c r="I18" s="75">
        <f t="shared" si="3"/>
        <v>350000</v>
      </c>
      <c r="J18" s="86"/>
      <c r="K18" s="86"/>
      <c r="L18" s="86"/>
      <c r="M18" s="86"/>
    </row>
    <row r="19" spans="1:18" s="80" customFormat="1" ht="18" customHeight="1" x14ac:dyDescent="0.15">
      <c r="A19" s="149"/>
      <c r="B19" s="237"/>
      <c r="C19" s="72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8" s="56" customFormat="1" ht="18" customHeight="1" x14ac:dyDescent="0.15">
      <c r="A20" s="149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</row>
    <row r="21" spans="1:18" s="56" customFormat="1" ht="18" customHeight="1" x14ac:dyDescent="0.15">
      <c r="A21" s="149"/>
      <c r="B21" s="237"/>
      <c r="C21" s="71"/>
      <c r="D21" s="72"/>
      <c r="E21" s="73"/>
      <c r="F21" s="12"/>
      <c r="G21" s="12"/>
      <c r="H21" s="74">
        <f t="shared" ref="H21:H27" si="4">I21</f>
        <v>0</v>
      </c>
      <c r="I21" s="75">
        <f t="shared" si="3"/>
        <v>0</v>
      </c>
    </row>
    <row r="22" spans="1:18" s="56" customFormat="1" ht="18" customHeight="1" x14ac:dyDescent="0.15">
      <c r="A22" s="149"/>
      <c r="B22" s="237"/>
      <c r="C22" s="71"/>
      <c r="D22" s="72"/>
      <c r="E22" s="73"/>
      <c r="F22" s="12"/>
      <c r="G22" s="12"/>
      <c r="H22" s="74">
        <f t="shared" si="4"/>
        <v>0</v>
      </c>
      <c r="I22" s="75">
        <f t="shared" si="3"/>
        <v>0</v>
      </c>
    </row>
    <row r="23" spans="1:18" s="56" customFormat="1" ht="18" customHeight="1" x14ac:dyDescent="0.15">
      <c r="A23" s="149"/>
      <c r="B23" s="237"/>
      <c r="C23" s="71"/>
      <c r="D23" s="72"/>
      <c r="E23" s="73"/>
      <c r="F23" s="12"/>
      <c r="G23" s="12"/>
      <c r="H23" s="74">
        <f t="shared" si="4"/>
        <v>0</v>
      </c>
      <c r="I23" s="75">
        <f t="shared" si="3"/>
        <v>0</v>
      </c>
    </row>
    <row r="24" spans="1:18" s="56" customFormat="1" ht="18" customHeight="1" x14ac:dyDescent="0.15">
      <c r="A24" s="149"/>
      <c r="B24" s="237"/>
      <c r="C24" s="12"/>
      <c r="D24" s="72"/>
      <c r="E24" s="73"/>
      <c r="F24" s="12"/>
      <c r="G24" s="12"/>
      <c r="H24" s="74">
        <f t="shared" si="4"/>
        <v>0</v>
      </c>
      <c r="I24" s="75">
        <f t="shared" si="3"/>
        <v>0</v>
      </c>
    </row>
    <row r="25" spans="1:18" s="56" customFormat="1" ht="18" customHeight="1" x14ac:dyDescent="0.15">
      <c r="A25" s="149"/>
      <c r="B25" s="237"/>
      <c r="C25" s="71"/>
      <c r="D25" s="91"/>
      <c r="E25" s="87"/>
      <c r="F25" s="12"/>
      <c r="G25" s="12"/>
      <c r="H25" s="74">
        <f t="shared" si="4"/>
        <v>0</v>
      </c>
      <c r="I25" s="75">
        <f t="shared" si="3"/>
        <v>0</v>
      </c>
    </row>
    <row r="26" spans="1:18" s="56" customFormat="1" ht="18" customHeight="1" x14ac:dyDescent="0.15">
      <c r="A26" s="149"/>
      <c r="B26" s="181"/>
      <c r="C26" s="72"/>
      <c r="D26" s="72"/>
      <c r="E26" s="73"/>
      <c r="F26" s="71"/>
      <c r="G26" s="71"/>
      <c r="H26" s="74">
        <f t="shared" si="4"/>
        <v>0</v>
      </c>
      <c r="I26" s="75">
        <f t="shared" si="3"/>
        <v>0</v>
      </c>
    </row>
    <row r="27" spans="1:18" s="56" customFormat="1" ht="18" customHeight="1" x14ac:dyDescent="0.15">
      <c r="A27" s="149"/>
      <c r="B27" s="181"/>
      <c r="C27" s="72"/>
      <c r="D27" s="91"/>
      <c r="E27" s="87"/>
      <c r="F27" s="71"/>
      <c r="G27" s="71"/>
      <c r="H27" s="74">
        <f t="shared" si="4"/>
        <v>0</v>
      </c>
      <c r="I27" s="75">
        <f t="shared" si="3"/>
        <v>0</v>
      </c>
    </row>
    <row r="28" spans="1:18" ht="18" customHeight="1" x14ac:dyDescent="0.15">
      <c r="A28" s="1"/>
      <c r="B28" s="3"/>
      <c r="C28" s="105"/>
      <c r="D28" s="106">
        <f>SUM(D4:D27)</f>
        <v>585</v>
      </c>
      <c r="E28" s="105"/>
      <c r="F28" s="3"/>
      <c r="G28" s="107">
        <f>SUM(G4:G27)</f>
        <v>39</v>
      </c>
      <c r="H28" s="107">
        <f>SUM(H4:H27)</f>
        <v>6600000</v>
      </c>
      <c r="I28" s="108"/>
    </row>
  </sheetData>
  <sheetProtection selectLockedCells="1" selectUnlockedCells="1"/>
  <sortState ref="A4:C18">
    <sortCondition descending="1" ref="C4:C18"/>
    <sortCondition ref="B4:B1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30">
    <pageSetUpPr fitToPage="1"/>
  </sheetPr>
  <dimension ref="A1:Q30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7" s="56" customFormat="1" ht="43.5" customHeight="1" x14ac:dyDescent="0.15">
      <c r="B1" s="440" t="s">
        <v>232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228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7" s="69" customFormat="1" ht="27" customHeight="1" x14ac:dyDescent="0.15">
      <c r="A3" s="58" t="s">
        <v>77</v>
      </c>
      <c r="B3" s="59" t="s">
        <v>78</v>
      </c>
      <c r="C3" s="294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7" s="80" customFormat="1" ht="18" customHeight="1" x14ac:dyDescent="0.15">
      <c r="A4" s="362" t="s">
        <v>14</v>
      </c>
      <c r="B4" s="237">
        <v>12</v>
      </c>
      <c r="C4" s="282">
        <v>38</v>
      </c>
      <c r="D4" s="292"/>
      <c r="E4" s="73"/>
      <c r="F4" s="453">
        <v>1</v>
      </c>
      <c r="G4" s="71">
        <v>10</v>
      </c>
      <c r="H4" s="74">
        <v>950000</v>
      </c>
      <c r="I4" s="75">
        <f>IF(E4&gt;0,#REF!,0)+IF(C4&gt;0,50000,0)+IF(C13&lt;0,50000,0)</f>
        <v>50000</v>
      </c>
      <c r="J4" s="76" t="s">
        <v>86</v>
      </c>
      <c r="K4" s="77"/>
      <c r="L4" s="78"/>
      <c r="M4" s="79">
        <v>10</v>
      </c>
      <c r="N4" s="74">
        <f>N12*25%</f>
        <v>1250000</v>
      </c>
    </row>
    <row r="5" spans="1:17" s="80" customFormat="1" ht="18" customHeight="1" x14ac:dyDescent="0.15">
      <c r="A5" s="362" t="s">
        <v>38</v>
      </c>
      <c r="B5" s="237">
        <v>14.4</v>
      </c>
      <c r="C5" s="282">
        <v>38</v>
      </c>
      <c r="D5" s="293"/>
      <c r="E5" s="73"/>
      <c r="F5" s="451"/>
      <c r="G5" s="71">
        <v>10</v>
      </c>
      <c r="H5" s="74">
        <v>950000</v>
      </c>
      <c r="I5" s="75">
        <f>IF(E5&gt;0,#REF!,0)+IF(C6&gt;0,50000,0)+IF(C14&lt;0,50000,0)</f>
        <v>50000</v>
      </c>
      <c r="J5" s="81" t="s">
        <v>87</v>
      </c>
      <c r="K5" s="82"/>
      <c r="L5" s="83"/>
      <c r="M5" s="84">
        <v>8</v>
      </c>
      <c r="N5" s="74">
        <f>N12*20%</f>
        <v>1000000</v>
      </c>
    </row>
    <row r="6" spans="1:17" s="80" customFormat="1" ht="18" customHeight="1" x14ac:dyDescent="0.15">
      <c r="A6" s="362" t="s">
        <v>42</v>
      </c>
      <c r="B6" s="237">
        <v>16.899999999999999</v>
      </c>
      <c r="C6" s="282">
        <v>38</v>
      </c>
      <c r="D6" s="293"/>
      <c r="E6" s="87"/>
      <c r="F6" s="451"/>
      <c r="G6" s="71">
        <v>10</v>
      </c>
      <c r="H6" s="74">
        <v>950000</v>
      </c>
      <c r="I6" s="75">
        <f>IF(E6&gt;0,#REF!,0)+IF(C7&gt;0,50000,0)+IF(C15&lt;0,50000,0)</f>
        <v>50000</v>
      </c>
      <c r="J6" s="81" t="s">
        <v>88</v>
      </c>
      <c r="K6" s="82"/>
      <c r="L6" s="83"/>
      <c r="M6" s="84">
        <v>6</v>
      </c>
      <c r="N6" s="74">
        <f>N12*15%</f>
        <v>750000</v>
      </c>
    </row>
    <row r="7" spans="1:17" s="80" customFormat="1" ht="18" customHeight="1" x14ac:dyDescent="0.15">
      <c r="A7" s="362" t="s">
        <v>40</v>
      </c>
      <c r="B7" s="237">
        <v>22.6</v>
      </c>
      <c r="C7" s="282">
        <v>38</v>
      </c>
      <c r="D7" s="293"/>
      <c r="E7" s="73"/>
      <c r="F7" s="454"/>
      <c r="G7" s="71">
        <v>10</v>
      </c>
      <c r="H7" s="74">
        <v>950000</v>
      </c>
      <c r="I7" s="75">
        <f>IF(E7&gt;0,#REF!,0)+IF(C8&gt;0,50000,0)+IF(C16&lt;0,50000,0)</f>
        <v>50000</v>
      </c>
      <c r="J7" s="81" t="s">
        <v>89</v>
      </c>
      <c r="K7" s="82"/>
      <c r="L7" s="83"/>
      <c r="M7" s="84">
        <v>5</v>
      </c>
      <c r="N7" s="74">
        <f>N12*12%</f>
        <v>600000</v>
      </c>
      <c r="O7" s="85"/>
      <c r="P7" s="85"/>
      <c r="Q7" s="86"/>
    </row>
    <row r="8" spans="1:17" s="80" customFormat="1" ht="18" customHeight="1" x14ac:dyDescent="0.15">
      <c r="A8" s="362" t="s">
        <v>30</v>
      </c>
      <c r="B8" s="237">
        <v>10.7</v>
      </c>
      <c r="C8" s="282">
        <v>39</v>
      </c>
      <c r="D8" s="293"/>
      <c r="E8" s="73"/>
      <c r="F8" s="450">
        <v>2</v>
      </c>
      <c r="G8" s="71">
        <v>5</v>
      </c>
      <c r="H8" s="74">
        <v>400000</v>
      </c>
      <c r="I8" s="75">
        <f>IF(E8&gt;0,#REF!,0)+IF(C9&gt;0,50000,0)+IF(C17&lt;0,50000,0)</f>
        <v>50000</v>
      </c>
      <c r="J8" s="81" t="s">
        <v>90</v>
      </c>
      <c r="K8" s="82"/>
      <c r="L8" s="83"/>
      <c r="M8" s="84">
        <v>4</v>
      </c>
      <c r="N8" s="74">
        <f>N12*10%</f>
        <v>500000</v>
      </c>
    </row>
    <row r="9" spans="1:17" s="80" customFormat="1" ht="18" customHeight="1" x14ac:dyDescent="0.15">
      <c r="A9" s="149" t="s">
        <v>230</v>
      </c>
      <c r="B9" s="237">
        <v>11</v>
      </c>
      <c r="C9" s="284">
        <v>39</v>
      </c>
      <c r="D9" s="292"/>
      <c r="E9" s="87"/>
      <c r="F9" s="451"/>
      <c r="G9" s="71" t="s">
        <v>99</v>
      </c>
      <c r="H9" s="74" t="s">
        <v>99</v>
      </c>
      <c r="I9" s="75">
        <f>IF(E9&gt;0,#REF!,0)+IF(C10&gt;0,50000,0)+IF(C18&lt;0,50000,0)</f>
        <v>50000</v>
      </c>
      <c r="J9" s="81" t="s">
        <v>91</v>
      </c>
      <c r="K9" s="82"/>
      <c r="L9" s="83"/>
      <c r="M9" s="84">
        <v>3</v>
      </c>
      <c r="N9" s="74">
        <f>N12*8%</f>
        <v>400000</v>
      </c>
    </row>
    <row r="10" spans="1:17" s="80" customFormat="1" ht="18" customHeight="1" x14ac:dyDescent="0.15">
      <c r="A10" s="362" t="s">
        <v>16</v>
      </c>
      <c r="B10" s="237">
        <v>20.100000000000001</v>
      </c>
      <c r="C10" s="282">
        <v>39</v>
      </c>
      <c r="D10" s="292"/>
      <c r="E10" s="87"/>
      <c r="F10" s="451"/>
      <c r="G10" s="71">
        <v>5</v>
      </c>
      <c r="H10" s="74">
        <v>400000</v>
      </c>
      <c r="I10" s="75">
        <f>IF(E10&gt;0,#REF!,0)+IF(C11&gt;0,50000,0)+IF(C19&lt;0,50000,0)</f>
        <v>50000</v>
      </c>
      <c r="J10" s="81" t="s">
        <v>92</v>
      </c>
      <c r="K10" s="82"/>
      <c r="L10" s="83"/>
      <c r="M10" s="84">
        <v>2</v>
      </c>
      <c r="N10" s="74">
        <f>N12*6%</f>
        <v>300000</v>
      </c>
    </row>
    <row r="11" spans="1:17" s="80" customFormat="1" ht="18" customHeight="1" x14ac:dyDescent="0.15">
      <c r="A11" s="362" t="s">
        <v>26</v>
      </c>
      <c r="B11" s="237">
        <v>23.7</v>
      </c>
      <c r="C11" s="156">
        <v>39</v>
      </c>
      <c r="D11" s="293"/>
      <c r="E11" s="73"/>
      <c r="F11" s="452"/>
      <c r="G11" s="71">
        <v>5</v>
      </c>
      <c r="H11" s="74">
        <v>400000</v>
      </c>
      <c r="I11" s="75">
        <f>IF(E11&gt;0,#REF!,0)+IF(C12&gt;0,50000,0)+IF(C20&lt;0,50000,0)</f>
        <v>50000</v>
      </c>
      <c r="J11" s="81" t="s">
        <v>93</v>
      </c>
      <c r="K11" s="82"/>
      <c r="L11" s="83"/>
      <c r="M11" s="84">
        <v>1</v>
      </c>
      <c r="N11" s="74">
        <f>N12*4%</f>
        <v>200000</v>
      </c>
    </row>
    <row r="12" spans="1:17" s="80" customFormat="1" ht="18" customHeight="1" x14ac:dyDescent="0.15">
      <c r="A12" s="362" t="s">
        <v>28</v>
      </c>
      <c r="B12" s="237">
        <v>12.2</v>
      </c>
      <c r="C12" s="282">
        <v>40</v>
      </c>
      <c r="D12" s="292"/>
      <c r="E12" s="73"/>
      <c r="F12" s="453">
        <v>3</v>
      </c>
      <c r="G12" s="71"/>
      <c r="H12" s="74">
        <f>I12</f>
        <v>50000</v>
      </c>
      <c r="I12" s="75">
        <f>IF(E12&gt;0,#REF!,0)+IF(C12&gt;0,50000,0)+IF(C12&lt;0,50000,0)</f>
        <v>50000</v>
      </c>
      <c r="J12" s="89" t="s">
        <v>94</v>
      </c>
      <c r="K12" s="82"/>
      <c r="L12" s="83"/>
      <c r="M12" s="84"/>
      <c r="N12" s="90">
        <v>5000000</v>
      </c>
    </row>
    <row r="13" spans="1:17" s="80" customFormat="1" ht="18" customHeight="1" x14ac:dyDescent="0.15">
      <c r="A13" s="362" t="s">
        <v>18</v>
      </c>
      <c r="B13" s="237">
        <v>15.2</v>
      </c>
      <c r="C13" s="282">
        <v>40</v>
      </c>
      <c r="D13" s="292"/>
      <c r="E13" s="73"/>
      <c r="F13" s="451"/>
      <c r="G13" s="71"/>
      <c r="H13" s="74">
        <f t="shared" ref="H13:H27" si="0">I13</f>
        <v>50000</v>
      </c>
      <c r="I13" s="75">
        <f>IF(E13&gt;0,#REF!,0)+IF(C13&gt;0,50000,0)+IF(C13&lt;0,50000,0)</f>
        <v>50000</v>
      </c>
      <c r="J13" s="111" t="s">
        <v>95</v>
      </c>
      <c r="K13" s="11"/>
      <c r="L13" s="11"/>
      <c r="M13" s="12">
        <v>1</v>
      </c>
      <c r="N13" s="74">
        <f>N10</f>
        <v>300000</v>
      </c>
    </row>
    <row r="14" spans="1:17" s="80" customFormat="1" ht="18" customHeight="1" x14ac:dyDescent="0.15">
      <c r="A14" s="362" t="s">
        <v>10</v>
      </c>
      <c r="B14" s="237">
        <v>15.4</v>
      </c>
      <c r="C14" s="284">
        <v>40</v>
      </c>
      <c r="D14" s="293"/>
      <c r="E14" s="73"/>
      <c r="F14" s="451"/>
      <c r="G14" s="71"/>
      <c r="H14" s="74">
        <f t="shared" si="0"/>
        <v>50000</v>
      </c>
      <c r="I14" s="75">
        <f>IF(E14&gt;0,#REF!,0)+IF(C14&gt;0,50000,0)+IF(C14&lt;0,50000,0)</f>
        <v>50000</v>
      </c>
    </row>
    <row r="15" spans="1:17" s="80" customFormat="1" ht="18" customHeight="1" x14ac:dyDescent="0.15">
      <c r="A15" s="149" t="s">
        <v>231</v>
      </c>
      <c r="B15" s="237"/>
      <c r="C15" s="156">
        <v>40</v>
      </c>
      <c r="D15" s="292"/>
      <c r="E15" s="73"/>
      <c r="F15" s="454"/>
      <c r="G15" s="71"/>
      <c r="H15" s="74" t="s">
        <v>99</v>
      </c>
      <c r="I15" s="75">
        <f>IF(E15&gt;0,#REF!,0)+IF(C15&gt;0,50000,0)+IF(C15&lt;0,50000,0)</f>
        <v>50000</v>
      </c>
    </row>
    <row r="16" spans="1:17" s="80" customFormat="1" ht="18" customHeight="1" x14ac:dyDescent="0.15">
      <c r="A16" s="362" t="s">
        <v>48</v>
      </c>
      <c r="B16" s="237">
        <v>8.6</v>
      </c>
      <c r="C16" s="282">
        <v>41</v>
      </c>
      <c r="D16" s="292"/>
      <c r="E16" s="87"/>
      <c r="F16" s="450">
        <v>4</v>
      </c>
      <c r="G16" s="12"/>
      <c r="H16" s="74">
        <f t="shared" si="0"/>
        <v>50000</v>
      </c>
      <c r="I16" s="75">
        <f>IF(E16&gt;0,#REF!,0)+IF(C16&gt;0,50000,0)+IF(C16&lt;0,50000,0)</f>
        <v>50000</v>
      </c>
    </row>
    <row r="17" spans="1:17" s="80" customFormat="1" ht="18" customHeight="1" x14ac:dyDescent="0.15">
      <c r="A17" s="362" t="s">
        <v>34</v>
      </c>
      <c r="B17" s="237">
        <v>13.7</v>
      </c>
      <c r="C17" s="282">
        <v>41</v>
      </c>
      <c r="D17" s="292"/>
      <c r="E17" s="73"/>
      <c r="F17" s="451"/>
      <c r="G17" s="12"/>
      <c r="H17" s="74">
        <f t="shared" si="0"/>
        <v>50000</v>
      </c>
      <c r="I17" s="75">
        <f>IF(E17&gt;0,#REF!,0)+IF(C17&gt;0,50000,0)+IF(C17&lt;0,50000,0)</f>
        <v>50000</v>
      </c>
      <c r="J17" s="85"/>
      <c r="K17" s="85"/>
      <c r="L17" s="85"/>
      <c r="M17" s="86"/>
      <c r="O17" s="85"/>
      <c r="P17" s="85"/>
      <c r="Q17" s="86"/>
    </row>
    <row r="18" spans="1:17" s="80" customFormat="1" ht="18" customHeight="1" x14ac:dyDescent="0.15">
      <c r="A18" s="362" t="s">
        <v>36</v>
      </c>
      <c r="B18" s="237">
        <v>19.2</v>
      </c>
      <c r="C18" s="282">
        <v>41</v>
      </c>
      <c r="D18" s="293"/>
      <c r="E18" s="73"/>
      <c r="F18" s="451"/>
      <c r="G18" s="71"/>
      <c r="H18" s="74">
        <f t="shared" si="0"/>
        <v>50000</v>
      </c>
      <c r="I18" s="75">
        <f>IF(E18&gt;0,#REF!,0)+IF(C18&gt;0,50000,0)+IF(C18&lt;0,50000,0)</f>
        <v>50000</v>
      </c>
      <c r="J18" s="12" t="s">
        <v>100</v>
      </c>
      <c r="K18" s="12" t="s">
        <v>83</v>
      </c>
      <c r="L18" s="12"/>
      <c r="M18" s="12" t="s">
        <v>101</v>
      </c>
      <c r="N18" s="12"/>
    </row>
    <row r="19" spans="1:17" s="80" customFormat="1" ht="18" customHeight="1" x14ac:dyDescent="0.15">
      <c r="A19" s="362" t="s">
        <v>46</v>
      </c>
      <c r="B19" s="237">
        <v>22.8</v>
      </c>
      <c r="C19" s="282">
        <v>41</v>
      </c>
      <c r="D19" s="292"/>
      <c r="E19" s="87"/>
      <c r="F19" s="452"/>
      <c r="G19" s="71"/>
      <c r="H19" s="74">
        <f t="shared" si="0"/>
        <v>50000</v>
      </c>
      <c r="I19" s="75">
        <f>IF(E19&gt;0,#REF!,0)+IF(C19&gt;0,50000,0)+IF(C19&lt;0,50000,0)</f>
        <v>50000</v>
      </c>
      <c r="J19" s="12">
        <v>1</v>
      </c>
      <c r="K19" s="12" t="s">
        <v>102</v>
      </c>
      <c r="L19" s="12">
        <v>10</v>
      </c>
      <c r="M19" s="74" t="s">
        <v>102</v>
      </c>
      <c r="N19" s="74">
        <f>N12*0.2</f>
        <v>1000000</v>
      </c>
    </row>
    <row r="20" spans="1:17" s="56" customFormat="1" ht="18" customHeight="1" x14ac:dyDescent="0.15">
      <c r="A20" s="362"/>
      <c r="B20" s="237"/>
      <c r="C20" s="284"/>
      <c r="D20" s="292"/>
      <c r="E20" s="87"/>
      <c r="F20" s="453"/>
      <c r="G20" s="12"/>
      <c r="H20" s="74">
        <f t="shared" si="0"/>
        <v>0</v>
      </c>
      <c r="I20" s="75">
        <f>IF(E20&gt;0,#REF!,0)+IF(C20&gt;0,50000,0)+IF(C20&lt;0,50000,0)</f>
        <v>0</v>
      </c>
      <c r="J20" s="12">
        <v>2</v>
      </c>
      <c r="K20" s="12" t="s">
        <v>102</v>
      </c>
      <c r="L20" s="12">
        <v>6</v>
      </c>
      <c r="M20" s="74" t="s">
        <v>102</v>
      </c>
      <c r="N20" s="74">
        <f>N12*0.15</f>
        <v>750000</v>
      </c>
    </row>
    <row r="21" spans="1:17" s="56" customFormat="1" ht="18" customHeight="1" x14ac:dyDescent="0.15">
      <c r="A21" s="362"/>
      <c r="B21" s="237"/>
      <c r="C21" s="283"/>
      <c r="D21" s="292"/>
      <c r="E21" s="73"/>
      <c r="F21" s="451"/>
      <c r="G21" s="12"/>
      <c r="H21" s="74">
        <f t="shared" si="0"/>
        <v>0</v>
      </c>
      <c r="I21" s="75">
        <f>IF(E21&gt;0,#REF!,0)+IF(C21&gt;0,50000,0)+IF(C21&lt;0,50000,0)</f>
        <v>0</v>
      </c>
      <c r="J21" s="12">
        <v>3</v>
      </c>
      <c r="K21" s="12" t="s">
        <v>102</v>
      </c>
      <c r="L21" s="12">
        <v>4</v>
      </c>
      <c r="M21" s="74" t="s">
        <v>102</v>
      </c>
      <c r="N21" s="74">
        <f>N12*0.1</f>
        <v>500000</v>
      </c>
    </row>
    <row r="22" spans="1:17" s="56" customFormat="1" ht="18" customHeight="1" x14ac:dyDescent="0.15">
      <c r="A22" s="362"/>
      <c r="B22" s="237"/>
      <c r="C22" s="282"/>
      <c r="D22" s="292"/>
      <c r="E22" s="73"/>
      <c r="F22" s="451"/>
      <c r="G22" s="12"/>
      <c r="H22" s="74">
        <f t="shared" si="0"/>
        <v>0</v>
      </c>
      <c r="I22" s="75">
        <f>IF(E22&gt;0,#REF!,0)+IF(C22&gt;0,50000,0)+IF(C22&lt;0,50000,0)</f>
        <v>0</v>
      </c>
      <c r="J22" s="12">
        <v>4</v>
      </c>
      <c r="K22" s="12" t="s">
        <v>102</v>
      </c>
      <c r="L22" s="12">
        <v>2</v>
      </c>
      <c r="M22" s="74" t="s">
        <v>102</v>
      </c>
      <c r="N22" s="74">
        <f>N12*0.05</f>
        <v>250000</v>
      </c>
    </row>
    <row r="23" spans="1:17" s="56" customFormat="1" ht="18" customHeight="1" x14ac:dyDescent="0.15">
      <c r="A23" s="362"/>
      <c r="B23" s="237"/>
      <c r="C23" s="282"/>
      <c r="D23" s="292"/>
      <c r="E23" s="73"/>
      <c r="F23" s="454"/>
      <c r="G23" s="12"/>
      <c r="H23" s="74">
        <f t="shared" si="0"/>
        <v>0</v>
      </c>
      <c r="I23" s="75">
        <f>IF(E23&gt;0,#REF!,0)+IF(C23&gt;0,50000,0)+IF(C23&lt;0,50000,0)</f>
        <v>0</v>
      </c>
      <c r="L23" s="112"/>
      <c r="M23" s="113"/>
      <c r="N23" s="113"/>
    </row>
    <row r="24" spans="1:17" s="56" customFormat="1" ht="18" customHeight="1" x14ac:dyDescent="0.15">
      <c r="A24" s="362"/>
      <c r="B24" s="237"/>
      <c r="C24" s="283"/>
      <c r="D24" s="292"/>
      <c r="E24" s="87"/>
      <c r="F24" s="12"/>
      <c r="G24" s="12"/>
      <c r="H24" s="74">
        <f t="shared" si="0"/>
        <v>0</v>
      </c>
      <c r="I24" s="75">
        <f>IF(E24&gt;0,#REF!,0)+IF(C24&gt;0,50000,0)+IF(C24&lt;0,50000,0)</f>
        <v>0</v>
      </c>
      <c r="L24" s="112"/>
      <c r="M24" s="113"/>
      <c r="N24" s="113"/>
    </row>
    <row r="25" spans="1:17" s="56" customFormat="1" ht="18" customHeight="1" x14ac:dyDescent="0.15">
      <c r="A25" s="362"/>
      <c r="B25" s="237"/>
      <c r="C25" s="282"/>
      <c r="D25" s="292"/>
      <c r="E25" s="87"/>
      <c r="F25" s="12"/>
      <c r="G25" s="12"/>
      <c r="H25" s="74">
        <f t="shared" si="0"/>
        <v>0</v>
      </c>
      <c r="I25" s="75">
        <f>IF(E25&gt;0,#REF!,0)+IF(C25&gt;0,50000,0)+IF(C25&lt;0,50000,0)</f>
        <v>0</v>
      </c>
      <c r="L25" s="112"/>
      <c r="M25" s="113"/>
      <c r="N25" s="113"/>
    </row>
    <row r="26" spans="1:17" s="56" customFormat="1" ht="18" customHeight="1" x14ac:dyDescent="0.15">
      <c r="A26" s="362"/>
      <c r="B26" s="237"/>
      <c r="C26" s="282"/>
      <c r="D26" s="292"/>
      <c r="E26" s="87"/>
      <c r="F26" s="12"/>
      <c r="G26" s="12"/>
      <c r="H26" s="74">
        <f t="shared" si="0"/>
        <v>0</v>
      </c>
      <c r="I26" s="75">
        <f>IF(E26&gt;0,#REF!,0)+IF(C26&gt;0,50000,0)+IF(C26&lt;0,50000,0)</f>
        <v>0</v>
      </c>
      <c r="J26" s="12" t="s">
        <v>103</v>
      </c>
      <c r="K26" s="12" t="s">
        <v>83</v>
      </c>
      <c r="L26" s="12"/>
      <c r="M26" s="74" t="s">
        <v>101</v>
      </c>
      <c r="N26" s="74"/>
    </row>
    <row r="27" spans="1:17" s="56" customFormat="1" ht="18" customHeight="1" x14ac:dyDescent="0.15">
      <c r="A27" s="149"/>
      <c r="B27" s="237"/>
      <c r="C27" s="282"/>
      <c r="D27" s="293"/>
      <c r="E27" s="73"/>
      <c r="F27" s="71"/>
      <c r="G27" s="71"/>
      <c r="H27" s="74">
        <f t="shared" si="0"/>
        <v>0</v>
      </c>
      <c r="I27" s="75">
        <f>IF(E27&gt;0,#REF!,0)+IF(C27&gt;0,50000,0)+IF(C27&lt;0,50000,0)</f>
        <v>0</v>
      </c>
      <c r="J27" s="12">
        <v>1</v>
      </c>
      <c r="K27" s="12" t="s">
        <v>104</v>
      </c>
      <c r="L27" s="12">
        <v>10</v>
      </c>
      <c r="M27" s="74" t="s">
        <v>104</v>
      </c>
      <c r="N27" s="74">
        <f>(N4+N5+N6+N7)/4</f>
        <v>900000</v>
      </c>
    </row>
    <row r="28" spans="1:17" ht="18" customHeight="1" x14ac:dyDescent="0.15">
      <c r="A28" s="149"/>
      <c r="B28" s="237"/>
      <c r="C28" s="283"/>
      <c r="D28" s="292"/>
      <c r="E28" s="73"/>
      <c r="F28" s="71"/>
      <c r="G28" s="71"/>
      <c r="H28" s="74">
        <f>I28</f>
        <v>0</v>
      </c>
      <c r="I28" s="75">
        <f>IF(E28&gt;0,#REF!,0)+IF(C28&gt;0,50000,0)+IF(C28&lt;0,50000,0)</f>
        <v>0</v>
      </c>
      <c r="J28" s="12">
        <v>2</v>
      </c>
      <c r="K28" s="12" t="s">
        <v>104</v>
      </c>
      <c r="L28" s="12">
        <v>5</v>
      </c>
      <c r="M28" s="74" t="s">
        <v>104</v>
      </c>
      <c r="N28" s="74">
        <f>AVERAGE(N8:N11)</f>
        <v>350000</v>
      </c>
    </row>
    <row r="29" spans="1:17" ht="15" thickBot="1" x14ac:dyDescent="0.2">
      <c r="A29" s="1"/>
      <c r="B29" s="3"/>
      <c r="C29" s="105"/>
      <c r="D29" s="106">
        <f>SUM(D4:D28)</f>
        <v>0</v>
      </c>
      <c r="E29" s="105"/>
      <c r="F29" s="3"/>
      <c r="G29" s="107">
        <f>SUM(G4:G28)</f>
        <v>55</v>
      </c>
      <c r="H29" s="107">
        <f>SUM(H4:H28)</f>
        <v>5350000</v>
      </c>
      <c r="I29" s="108"/>
    </row>
    <row r="30" spans="1:17" ht="19" thickTop="1" x14ac:dyDescent="0.2"/>
  </sheetData>
  <sheetProtection selectLockedCells="1" selectUnlockedCells="1"/>
  <sortState ref="A4:C26">
    <sortCondition ref="C4:C26"/>
    <sortCondition ref="B4:B26"/>
  </sortState>
  <mergeCells count="7">
    <mergeCell ref="F20:F23"/>
    <mergeCell ref="B1:N1"/>
    <mergeCell ref="B2:N2"/>
    <mergeCell ref="F4:F7"/>
    <mergeCell ref="F8:F11"/>
    <mergeCell ref="F12:F15"/>
    <mergeCell ref="F16:F19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rgb="FFFFFF00"/>
  </sheetPr>
  <dimension ref="A1:AK31"/>
  <sheetViews>
    <sheetView workbookViewId="0">
      <selection activeCell="D14" sqref="D14"/>
    </sheetView>
  </sheetViews>
  <sheetFormatPr baseColWidth="10" defaultColWidth="9.1640625" defaultRowHeight="16" x14ac:dyDescent="0.2"/>
  <cols>
    <col min="1" max="1" width="2.33203125" style="14" customWidth="1"/>
    <col min="2" max="2" width="25.5" style="14" customWidth="1"/>
    <col min="3" max="3" width="15.5" style="15" customWidth="1"/>
    <col min="4" max="6" width="10.6640625" style="16" customWidth="1"/>
    <col min="7" max="10" width="9.6640625" style="16" customWidth="1"/>
    <col min="11" max="11" width="10.1640625" style="16" customWidth="1"/>
    <col min="12" max="12" width="9.6640625" style="16" customWidth="1"/>
    <col min="13" max="13" width="10.33203125" style="16" customWidth="1"/>
    <col min="14" max="16" width="9.6640625" style="16" customWidth="1"/>
    <col min="17" max="26" width="10.33203125" style="16" customWidth="1"/>
    <col min="27" max="30" width="9.6640625" style="16" customWidth="1"/>
    <col min="31" max="31" width="9.5" style="16" bestFit="1" customWidth="1"/>
    <col min="32" max="32" width="9.6640625" style="16" customWidth="1"/>
    <col min="33" max="34" width="9.5" style="16" bestFit="1" customWidth="1"/>
    <col min="35" max="35" width="9.5" style="14" bestFit="1" customWidth="1"/>
    <col min="36" max="36" width="9.83203125" style="14" customWidth="1"/>
    <col min="37" max="37" width="15.83203125" style="14" customWidth="1"/>
    <col min="38" max="16384" width="9.1640625" style="14"/>
  </cols>
  <sheetData>
    <row r="1" spans="1:37" ht="24.75" customHeight="1" x14ac:dyDescent="0.2">
      <c r="C1" s="17" t="s">
        <v>54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8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7" s="19" customFormat="1" ht="57" customHeight="1" x14ac:dyDescent="0.15">
      <c r="B2" s="20"/>
      <c r="C2" s="30" t="s">
        <v>55</v>
      </c>
      <c r="D2" s="179">
        <v>43380</v>
      </c>
      <c r="E2" s="179">
        <v>43377</v>
      </c>
      <c r="F2" s="179">
        <v>43370</v>
      </c>
      <c r="G2" s="179">
        <v>43363</v>
      </c>
      <c r="H2" s="179">
        <v>43356</v>
      </c>
      <c r="I2" s="179">
        <v>43352</v>
      </c>
      <c r="J2" s="179">
        <v>43351</v>
      </c>
      <c r="K2" s="179">
        <v>43349</v>
      </c>
      <c r="L2" s="179">
        <v>43342</v>
      </c>
      <c r="M2" s="179">
        <v>43335</v>
      </c>
      <c r="N2" s="179">
        <v>43328</v>
      </c>
      <c r="O2" s="179">
        <v>43321</v>
      </c>
      <c r="P2" s="179">
        <v>43314</v>
      </c>
      <c r="Q2" s="179">
        <v>43307</v>
      </c>
      <c r="R2" s="179">
        <v>43300</v>
      </c>
      <c r="S2" s="179">
        <v>43293</v>
      </c>
      <c r="T2" s="179">
        <v>43286</v>
      </c>
      <c r="U2" s="179">
        <v>43279</v>
      </c>
      <c r="V2" s="179">
        <v>43272</v>
      </c>
      <c r="W2" s="179">
        <v>43265</v>
      </c>
      <c r="X2" s="179">
        <v>43258</v>
      </c>
      <c r="Y2" s="402" t="s">
        <v>240</v>
      </c>
      <c r="Z2" s="402" t="s">
        <v>241</v>
      </c>
      <c r="AA2" s="179">
        <v>43251</v>
      </c>
      <c r="AB2" s="179">
        <v>43244</v>
      </c>
      <c r="AC2" s="179">
        <v>43237</v>
      </c>
      <c r="AD2" s="179">
        <v>43230</v>
      </c>
      <c r="AE2" s="179">
        <v>43223</v>
      </c>
      <c r="AF2" s="179">
        <v>43216</v>
      </c>
      <c r="AG2" s="179">
        <v>43209</v>
      </c>
      <c r="AH2" s="179">
        <v>43202</v>
      </c>
      <c r="AI2" s="179">
        <v>43195</v>
      </c>
      <c r="AJ2" s="22" t="s">
        <v>56</v>
      </c>
    </row>
    <row r="3" spans="1:37" x14ac:dyDescent="0.2">
      <c r="B3" s="132" t="s">
        <v>31</v>
      </c>
      <c r="C3" s="138">
        <f>SUM(D3:AI3)</f>
        <v>24430000</v>
      </c>
      <c r="D3" s="139">
        <v>3150000</v>
      </c>
      <c r="E3" s="139">
        <v>1950000</v>
      </c>
      <c r="F3" s="139">
        <v>530000</v>
      </c>
      <c r="G3" s="140">
        <v>1450000</v>
      </c>
      <c r="H3" s="140"/>
      <c r="I3" s="140">
        <v>550000</v>
      </c>
      <c r="J3" s="140">
        <v>800000</v>
      </c>
      <c r="K3" s="140">
        <v>290000</v>
      </c>
      <c r="L3" s="140">
        <v>50000</v>
      </c>
      <c r="M3" s="140">
        <v>50000</v>
      </c>
      <c r="N3" s="140">
        <v>50000</v>
      </c>
      <c r="O3" s="140">
        <v>850000</v>
      </c>
      <c r="P3" s="140">
        <v>1250000</v>
      </c>
      <c r="Q3" s="140">
        <v>770000</v>
      </c>
      <c r="R3" s="140">
        <v>50000</v>
      </c>
      <c r="S3" s="140">
        <v>1250000</v>
      </c>
      <c r="T3" s="140">
        <v>50000</v>
      </c>
      <c r="U3" s="140">
        <v>50000</v>
      </c>
      <c r="V3" s="140">
        <v>1250000</v>
      </c>
      <c r="W3" s="140">
        <v>2530000</v>
      </c>
      <c r="X3" s="140">
        <v>50000</v>
      </c>
      <c r="Y3" s="140">
        <v>550000</v>
      </c>
      <c r="Z3" s="140">
        <v>400000</v>
      </c>
      <c r="AA3" s="140">
        <v>950000</v>
      </c>
      <c r="AB3" s="140">
        <v>1250000</v>
      </c>
      <c r="AC3" s="140">
        <v>1550000</v>
      </c>
      <c r="AD3" s="140">
        <v>50000</v>
      </c>
      <c r="AE3" s="140">
        <v>1310000</v>
      </c>
      <c r="AF3" s="140">
        <v>1250000</v>
      </c>
      <c r="AG3" s="140">
        <v>50000</v>
      </c>
      <c r="AH3" s="140">
        <v>50000</v>
      </c>
      <c r="AI3" s="140">
        <v>50000</v>
      </c>
      <c r="AJ3" s="141">
        <f>COUNTIF(D3:AI3,"&gt;0")</f>
        <v>31</v>
      </c>
    </row>
    <row r="4" spans="1:37" x14ac:dyDescent="0.2">
      <c r="B4" s="134" t="s">
        <v>35</v>
      </c>
      <c r="C4" s="142">
        <f>SUM(D4:AI4)</f>
        <v>18740000</v>
      </c>
      <c r="D4" s="139">
        <v>450000</v>
      </c>
      <c r="E4" s="139">
        <v>410000</v>
      </c>
      <c r="F4" s="139">
        <v>50000</v>
      </c>
      <c r="G4" s="140">
        <v>330000</v>
      </c>
      <c r="H4" s="140"/>
      <c r="I4" s="140">
        <v>1300000</v>
      </c>
      <c r="J4" s="140">
        <v>350000</v>
      </c>
      <c r="K4" s="140">
        <v>650000</v>
      </c>
      <c r="L4" s="140">
        <v>1550000</v>
      </c>
      <c r="M4" s="140"/>
      <c r="N4" s="140">
        <v>1250000</v>
      </c>
      <c r="O4" s="140">
        <v>50000</v>
      </c>
      <c r="P4" s="140">
        <v>290000</v>
      </c>
      <c r="Q4" s="140">
        <v>290000</v>
      </c>
      <c r="R4" s="140">
        <v>2050000</v>
      </c>
      <c r="S4" s="140">
        <v>50000</v>
      </c>
      <c r="T4" s="140">
        <v>50000</v>
      </c>
      <c r="U4" s="140">
        <v>1550000</v>
      </c>
      <c r="V4" s="140">
        <v>530000</v>
      </c>
      <c r="W4" s="140">
        <v>1250000</v>
      </c>
      <c r="X4" s="140">
        <v>50000</v>
      </c>
      <c r="Y4" s="140">
        <v>50000</v>
      </c>
      <c r="Z4" s="140">
        <v>50000</v>
      </c>
      <c r="AA4" s="140">
        <v>1910000</v>
      </c>
      <c r="AB4" s="140">
        <v>1550000</v>
      </c>
      <c r="AC4" s="140">
        <v>1250000</v>
      </c>
      <c r="AD4" s="140">
        <v>50000</v>
      </c>
      <c r="AE4" s="140">
        <v>750000</v>
      </c>
      <c r="AF4" s="140">
        <v>530000</v>
      </c>
      <c r="AG4" s="140">
        <v>50000</v>
      </c>
      <c r="AH4" s="140">
        <v>50000</v>
      </c>
      <c r="AI4" s="140"/>
      <c r="AJ4" s="141">
        <f>COUNTIF(D4:AI4,"&gt;0")</f>
        <v>29</v>
      </c>
    </row>
    <row r="5" spans="1:37" s="23" customFormat="1" x14ac:dyDescent="0.2">
      <c r="A5" s="14"/>
      <c r="B5" s="136" t="s">
        <v>43</v>
      </c>
      <c r="C5" s="143">
        <f>SUM(D5:AI5)</f>
        <v>17980000</v>
      </c>
      <c r="D5" s="139"/>
      <c r="E5" s="139">
        <v>50000</v>
      </c>
      <c r="F5" s="139">
        <v>2050000</v>
      </c>
      <c r="G5" s="140">
        <v>1800000</v>
      </c>
      <c r="H5" s="140">
        <v>1250000</v>
      </c>
      <c r="I5" s="140">
        <v>50000</v>
      </c>
      <c r="J5" s="140">
        <v>50000</v>
      </c>
      <c r="K5" s="140">
        <v>530000</v>
      </c>
      <c r="L5" s="140">
        <v>650000</v>
      </c>
      <c r="M5" s="140">
        <v>1130000</v>
      </c>
      <c r="N5" s="140">
        <v>530000</v>
      </c>
      <c r="O5" s="140">
        <v>50000</v>
      </c>
      <c r="P5" s="140">
        <v>1050000</v>
      </c>
      <c r="Q5" s="140"/>
      <c r="R5" s="140">
        <v>850000</v>
      </c>
      <c r="S5" s="140">
        <v>650000</v>
      </c>
      <c r="T5" s="140">
        <v>410000</v>
      </c>
      <c r="U5" s="140">
        <v>770000</v>
      </c>
      <c r="V5" s="140">
        <v>290000</v>
      </c>
      <c r="W5" s="140">
        <v>50000</v>
      </c>
      <c r="X5" s="140"/>
      <c r="Y5" s="140">
        <v>50000</v>
      </c>
      <c r="Z5" s="140">
        <v>950000</v>
      </c>
      <c r="AA5" s="140">
        <v>50000</v>
      </c>
      <c r="AB5" s="140">
        <v>50000</v>
      </c>
      <c r="AC5" s="140">
        <v>50000</v>
      </c>
      <c r="AD5" s="140">
        <v>1130000</v>
      </c>
      <c r="AE5" s="140">
        <v>290000</v>
      </c>
      <c r="AF5" s="140">
        <v>50000</v>
      </c>
      <c r="AG5" s="140">
        <v>50000</v>
      </c>
      <c r="AH5" s="140">
        <v>1050000</v>
      </c>
      <c r="AI5" s="140">
        <v>2050000</v>
      </c>
      <c r="AJ5" s="141">
        <f>COUNTIF(D5:AI5,"&gt;0")</f>
        <v>29</v>
      </c>
    </row>
    <row r="6" spans="1:37" s="24" customFormat="1" x14ac:dyDescent="0.2">
      <c r="A6" s="14"/>
      <c r="B6" s="127" t="s">
        <v>19</v>
      </c>
      <c r="C6" s="144">
        <f>SUM(D6:AI6)</f>
        <v>17550000</v>
      </c>
      <c r="D6" s="140">
        <v>1250000</v>
      </c>
      <c r="E6" s="140">
        <v>1130000</v>
      </c>
      <c r="F6" s="139">
        <v>1170000</v>
      </c>
      <c r="G6" s="140">
        <v>50000</v>
      </c>
      <c r="H6" s="140">
        <v>770000</v>
      </c>
      <c r="I6" s="140">
        <v>650000</v>
      </c>
      <c r="J6" s="140">
        <v>250000</v>
      </c>
      <c r="K6" s="140">
        <v>770000</v>
      </c>
      <c r="L6" s="140">
        <v>530000</v>
      </c>
      <c r="M6" s="140">
        <v>470000</v>
      </c>
      <c r="N6" s="140">
        <v>50000</v>
      </c>
      <c r="O6" s="140">
        <v>850000</v>
      </c>
      <c r="P6" s="140">
        <v>1550000</v>
      </c>
      <c r="Q6" s="140"/>
      <c r="R6" s="140">
        <v>1010000</v>
      </c>
      <c r="S6" s="140">
        <v>50000</v>
      </c>
      <c r="T6" s="395">
        <v>50000</v>
      </c>
      <c r="U6" s="140">
        <v>50000</v>
      </c>
      <c r="V6" s="140">
        <v>950000</v>
      </c>
      <c r="W6" s="140"/>
      <c r="X6" s="140">
        <v>950000</v>
      </c>
      <c r="Y6" s="140">
        <v>350000</v>
      </c>
      <c r="Z6" s="140">
        <v>50000</v>
      </c>
      <c r="AA6" s="140">
        <v>1250000</v>
      </c>
      <c r="AB6" s="140">
        <v>50000</v>
      </c>
      <c r="AC6" s="140">
        <v>290000</v>
      </c>
      <c r="AD6" s="140"/>
      <c r="AE6" s="140">
        <v>530000</v>
      </c>
      <c r="AF6" s="140">
        <v>410000</v>
      </c>
      <c r="AG6" s="140">
        <v>410000</v>
      </c>
      <c r="AH6" s="140">
        <v>650000</v>
      </c>
      <c r="AI6" s="140">
        <v>1010000</v>
      </c>
      <c r="AJ6" s="141">
        <f>COUNTIF(D6:AI6,"&gt;0")</f>
        <v>29</v>
      </c>
    </row>
    <row r="7" spans="1:37" s="24" customFormat="1" x14ac:dyDescent="0.2">
      <c r="B7" s="13" t="s">
        <v>29</v>
      </c>
      <c r="C7" s="145">
        <f>SUM(D7:AI7)</f>
        <v>16540000</v>
      </c>
      <c r="D7" s="140">
        <v>650000</v>
      </c>
      <c r="E7" s="140">
        <v>1400000</v>
      </c>
      <c r="F7" s="139"/>
      <c r="G7" s="140">
        <v>890000</v>
      </c>
      <c r="H7" s="140">
        <v>50000</v>
      </c>
      <c r="I7" s="140">
        <v>350000</v>
      </c>
      <c r="J7" s="140">
        <v>50000</v>
      </c>
      <c r="K7" s="140">
        <v>50000</v>
      </c>
      <c r="L7" s="140">
        <v>1310000</v>
      </c>
      <c r="M7" s="140">
        <v>50000</v>
      </c>
      <c r="N7" s="140">
        <v>50000</v>
      </c>
      <c r="O7" s="140">
        <v>1010000</v>
      </c>
      <c r="P7" s="140">
        <v>770000</v>
      </c>
      <c r="Q7" s="140">
        <v>650000</v>
      </c>
      <c r="R7" s="140">
        <v>530000</v>
      </c>
      <c r="S7" s="140">
        <v>50000</v>
      </c>
      <c r="T7" s="140">
        <v>1050000</v>
      </c>
      <c r="U7" s="140">
        <v>1010000</v>
      </c>
      <c r="V7" s="140">
        <v>1550000</v>
      </c>
      <c r="W7" s="140"/>
      <c r="X7" s="140">
        <v>50000</v>
      </c>
      <c r="Y7" s="140">
        <v>1100000</v>
      </c>
      <c r="Z7" s="140">
        <v>50000</v>
      </c>
      <c r="AA7" s="140">
        <v>650000</v>
      </c>
      <c r="AB7" s="140">
        <v>50000</v>
      </c>
      <c r="AC7" s="140">
        <v>950000</v>
      </c>
      <c r="AD7" s="140">
        <v>50000</v>
      </c>
      <c r="AE7" s="140">
        <v>50000</v>
      </c>
      <c r="AF7" s="140">
        <v>770000</v>
      </c>
      <c r="AG7" s="140">
        <v>50000</v>
      </c>
      <c r="AH7" s="140">
        <v>50000</v>
      </c>
      <c r="AI7" s="140">
        <v>1250000</v>
      </c>
      <c r="AJ7" s="141">
        <f>COUNTIF(D7:AI7,"&gt;0")</f>
        <v>30</v>
      </c>
    </row>
    <row r="8" spans="1:37" x14ac:dyDescent="0.2">
      <c r="B8" s="13" t="s">
        <v>49</v>
      </c>
      <c r="C8" s="145">
        <f>SUM(D8:AI8)</f>
        <v>14000000</v>
      </c>
      <c r="D8" s="140"/>
      <c r="E8" s="140"/>
      <c r="F8" s="139">
        <v>50000</v>
      </c>
      <c r="G8" s="140">
        <v>750000</v>
      </c>
      <c r="H8" s="140">
        <v>1550000</v>
      </c>
      <c r="I8" s="140">
        <v>550000</v>
      </c>
      <c r="J8" s="140">
        <v>1900000</v>
      </c>
      <c r="K8" s="140"/>
      <c r="L8" s="140">
        <v>50000</v>
      </c>
      <c r="M8" s="140"/>
      <c r="N8" s="140">
        <v>1010000</v>
      </c>
      <c r="O8" s="140">
        <v>1250000</v>
      </c>
      <c r="P8" s="140"/>
      <c r="Q8" s="140"/>
      <c r="R8" s="140">
        <v>1650000</v>
      </c>
      <c r="S8" s="140">
        <v>50000</v>
      </c>
      <c r="T8" s="140"/>
      <c r="U8" s="140">
        <v>50000</v>
      </c>
      <c r="V8" s="140"/>
      <c r="W8" s="140">
        <v>1010000</v>
      </c>
      <c r="X8" s="140"/>
      <c r="Y8" s="140">
        <v>1050000</v>
      </c>
      <c r="Z8" s="140">
        <v>50000</v>
      </c>
      <c r="AA8" s="140">
        <v>50000</v>
      </c>
      <c r="AB8" s="140"/>
      <c r="AC8" s="140"/>
      <c r="AD8" s="140"/>
      <c r="AE8" s="140">
        <v>510000</v>
      </c>
      <c r="AF8" s="140">
        <v>1550000</v>
      </c>
      <c r="AG8" s="140">
        <v>50000</v>
      </c>
      <c r="AH8" s="140">
        <v>870000</v>
      </c>
      <c r="AI8" s="140"/>
      <c r="AJ8" s="141">
        <f>COUNTIF(D8:AI8,"&gt;0")</f>
        <v>19</v>
      </c>
      <c r="AK8" s="382"/>
    </row>
    <row r="9" spans="1:37" x14ac:dyDescent="0.2">
      <c r="B9" s="13" t="s">
        <v>41</v>
      </c>
      <c r="C9" s="145">
        <f>SUM(D9:AI9)</f>
        <v>13560000</v>
      </c>
      <c r="D9" s="140">
        <v>1650000</v>
      </c>
      <c r="E9" s="140">
        <v>2840000</v>
      </c>
      <c r="F9" s="139">
        <v>850000</v>
      </c>
      <c r="G9" s="140">
        <v>50000</v>
      </c>
      <c r="H9" s="140">
        <v>950000</v>
      </c>
      <c r="I9" s="140"/>
      <c r="J9" s="140"/>
      <c r="K9" s="140">
        <v>50000</v>
      </c>
      <c r="L9" s="140">
        <v>50000</v>
      </c>
      <c r="M9" s="140">
        <v>50000</v>
      </c>
      <c r="N9" s="140">
        <v>770000</v>
      </c>
      <c r="O9" s="140">
        <v>50000</v>
      </c>
      <c r="P9" s="140">
        <v>410000</v>
      </c>
      <c r="Q9" s="140"/>
      <c r="R9" s="140"/>
      <c r="S9" s="140"/>
      <c r="T9" s="396"/>
      <c r="U9" s="140">
        <v>50000</v>
      </c>
      <c r="V9" s="140">
        <v>50000</v>
      </c>
      <c r="W9" s="140">
        <v>50000</v>
      </c>
      <c r="X9" s="140">
        <v>770000</v>
      </c>
      <c r="Y9" s="140">
        <v>750000</v>
      </c>
      <c r="Z9" s="140">
        <v>950000</v>
      </c>
      <c r="AA9" s="140">
        <v>50000</v>
      </c>
      <c r="AB9" s="140">
        <v>950000</v>
      </c>
      <c r="AC9" s="140">
        <v>50000</v>
      </c>
      <c r="AD9" s="140">
        <v>50000</v>
      </c>
      <c r="AE9" s="140">
        <v>50000</v>
      </c>
      <c r="AF9" s="140">
        <v>50000</v>
      </c>
      <c r="AG9" s="140">
        <v>770000</v>
      </c>
      <c r="AH9" s="140">
        <v>1250000</v>
      </c>
      <c r="AI9" s="140"/>
      <c r="AJ9" s="141">
        <f>COUNTIF(G9:AI9,"&gt;0")</f>
        <v>22</v>
      </c>
    </row>
    <row r="10" spans="1:37" x14ac:dyDescent="0.2">
      <c r="B10" s="13" t="s">
        <v>11</v>
      </c>
      <c r="C10" s="145">
        <f>SUM(D10:AI10)</f>
        <v>13430000</v>
      </c>
      <c r="D10" s="140">
        <v>650000</v>
      </c>
      <c r="E10" s="140"/>
      <c r="F10" s="140">
        <v>50000</v>
      </c>
      <c r="G10" s="140">
        <v>50000</v>
      </c>
      <c r="H10" s="140">
        <v>50000</v>
      </c>
      <c r="I10" s="140">
        <v>1050000</v>
      </c>
      <c r="J10" s="140">
        <v>1050000</v>
      </c>
      <c r="K10" s="140"/>
      <c r="L10" s="140">
        <v>50000</v>
      </c>
      <c r="M10" s="140">
        <v>1130000</v>
      </c>
      <c r="N10" s="140">
        <v>290000</v>
      </c>
      <c r="O10" s="140">
        <v>50000</v>
      </c>
      <c r="P10" s="140"/>
      <c r="Q10" s="140">
        <v>410000</v>
      </c>
      <c r="R10" s="140"/>
      <c r="S10" s="140"/>
      <c r="T10" s="140">
        <v>530000</v>
      </c>
      <c r="U10" s="140">
        <v>950000</v>
      </c>
      <c r="V10" s="140">
        <v>410000</v>
      </c>
      <c r="W10" s="140">
        <v>1650000</v>
      </c>
      <c r="X10" s="140">
        <v>1550000</v>
      </c>
      <c r="Y10" s="140">
        <v>1300000</v>
      </c>
      <c r="Z10" s="140">
        <v>50000</v>
      </c>
      <c r="AA10" s="140"/>
      <c r="AB10" s="140">
        <v>50000</v>
      </c>
      <c r="AC10" s="140">
        <v>410000</v>
      </c>
      <c r="AD10" s="140">
        <v>530000</v>
      </c>
      <c r="AE10" s="140">
        <v>50000</v>
      </c>
      <c r="AF10" s="140">
        <v>650000</v>
      </c>
      <c r="AG10" s="140">
        <v>50000</v>
      </c>
      <c r="AH10" s="140">
        <v>50000</v>
      </c>
      <c r="AI10" s="140">
        <v>370000</v>
      </c>
      <c r="AJ10" s="141">
        <f>COUNTIF(G10:AI10,"&gt;0")</f>
        <v>24</v>
      </c>
    </row>
    <row r="11" spans="1:37" x14ac:dyDescent="0.2">
      <c r="B11" s="13" t="s">
        <v>39</v>
      </c>
      <c r="C11" s="145">
        <f>SUM(D11:AI11)</f>
        <v>11880000</v>
      </c>
      <c r="D11" s="140">
        <v>2050000</v>
      </c>
      <c r="E11" s="140">
        <v>50000</v>
      </c>
      <c r="F11" s="140"/>
      <c r="G11" s="140">
        <v>470000</v>
      </c>
      <c r="H11" s="140">
        <v>770000</v>
      </c>
      <c r="I11" s="140">
        <v>800000</v>
      </c>
      <c r="J11" s="140">
        <v>650000</v>
      </c>
      <c r="K11" s="140">
        <v>1550000</v>
      </c>
      <c r="L11" s="140">
        <v>410000</v>
      </c>
      <c r="M11" s="140">
        <v>50000</v>
      </c>
      <c r="N11" s="140">
        <v>50000</v>
      </c>
      <c r="O11" s="140">
        <v>50000</v>
      </c>
      <c r="P11" s="140"/>
      <c r="Q11" s="140"/>
      <c r="R11" s="140">
        <v>50000</v>
      </c>
      <c r="S11" s="140">
        <v>770000</v>
      </c>
      <c r="T11" s="140">
        <v>50000</v>
      </c>
      <c r="U11" s="140">
        <v>50000</v>
      </c>
      <c r="V11" s="140">
        <v>50000</v>
      </c>
      <c r="W11" s="140">
        <v>690000</v>
      </c>
      <c r="X11" s="140">
        <v>50000</v>
      </c>
      <c r="Y11" s="140">
        <v>50000</v>
      </c>
      <c r="Z11" s="140">
        <v>950000</v>
      </c>
      <c r="AA11" s="140">
        <v>50000</v>
      </c>
      <c r="AB11" s="140">
        <v>650000</v>
      </c>
      <c r="AC11" s="140">
        <v>650000</v>
      </c>
      <c r="AD11" s="140">
        <v>50000</v>
      </c>
      <c r="AE11" s="140"/>
      <c r="AF11" s="140">
        <v>290000</v>
      </c>
      <c r="AG11" s="140">
        <v>50000</v>
      </c>
      <c r="AH11" s="242">
        <v>530000</v>
      </c>
      <c r="AI11" s="140"/>
      <c r="AJ11" s="141">
        <f>COUNTIF(D11:AI11,"&gt;0")</f>
        <v>27</v>
      </c>
    </row>
    <row r="12" spans="1:37" x14ac:dyDescent="0.2">
      <c r="B12" s="13" t="s">
        <v>148</v>
      </c>
      <c r="C12" s="145">
        <f>SUM(D12:AI12)</f>
        <v>11040000</v>
      </c>
      <c r="D12" s="140"/>
      <c r="E12" s="140"/>
      <c r="F12" s="140">
        <v>370000</v>
      </c>
      <c r="G12" s="140">
        <v>1030000</v>
      </c>
      <c r="H12" s="140"/>
      <c r="I12" s="140"/>
      <c r="J12" s="140"/>
      <c r="K12" s="140"/>
      <c r="L12" s="140">
        <v>1250000</v>
      </c>
      <c r="M12" s="140">
        <v>830000</v>
      </c>
      <c r="N12" s="140"/>
      <c r="O12" s="140"/>
      <c r="P12" s="140">
        <v>750000</v>
      </c>
      <c r="Q12" s="140">
        <v>1310000</v>
      </c>
      <c r="R12" s="140"/>
      <c r="S12" s="140"/>
      <c r="T12" s="140"/>
      <c r="U12" s="140"/>
      <c r="V12" s="140"/>
      <c r="W12" s="140"/>
      <c r="X12" s="140">
        <v>1710000</v>
      </c>
      <c r="Y12" s="140"/>
      <c r="Z12" s="140"/>
      <c r="AA12" s="140">
        <v>530000</v>
      </c>
      <c r="AB12" s="140"/>
      <c r="AC12" s="140"/>
      <c r="AD12" s="140">
        <v>650000</v>
      </c>
      <c r="AE12" s="140">
        <v>1350000</v>
      </c>
      <c r="AF12" s="140">
        <v>410000</v>
      </c>
      <c r="AG12" s="140"/>
      <c r="AH12" s="140"/>
      <c r="AI12" s="140">
        <v>850000</v>
      </c>
      <c r="AJ12" s="141">
        <f>COUNTIF(D12:AI12,"&gt;0")</f>
        <v>12</v>
      </c>
    </row>
    <row r="13" spans="1:37" s="24" customFormat="1" x14ac:dyDescent="0.2">
      <c r="A13" s="14"/>
      <c r="B13" s="13" t="s">
        <v>15</v>
      </c>
      <c r="C13" s="145">
        <f>SUM(D13:AI13)</f>
        <v>10960000</v>
      </c>
      <c r="D13" s="140">
        <v>50000</v>
      </c>
      <c r="E13" s="140">
        <v>50000</v>
      </c>
      <c r="F13" s="140"/>
      <c r="G13" s="140"/>
      <c r="H13" s="140">
        <v>50000</v>
      </c>
      <c r="I13" s="140">
        <v>950000</v>
      </c>
      <c r="J13" s="140">
        <v>450000</v>
      </c>
      <c r="K13" s="140"/>
      <c r="L13" s="140">
        <v>50000</v>
      </c>
      <c r="M13" s="140">
        <v>470000</v>
      </c>
      <c r="N13" s="140">
        <v>410000</v>
      </c>
      <c r="O13" s="140">
        <v>50000</v>
      </c>
      <c r="P13" s="140">
        <v>50000</v>
      </c>
      <c r="Q13" s="140">
        <v>1550000</v>
      </c>
      <c r="R13" s="140">
        <v>1250000</v>
      </c>
      <c r="S13" s="140"/>
      <c r="T13" s="140">
        <v>50000</v>
      </c>
      <c r="U13" s="140">
        <v>50000</v>
      </c>
      <c r="V13" s="140">
        <v>770000</v>
      </c>
      <c r="W13" s="140"/>
      <c r="X13" s="140">
        <v>530000</v>
      </c>
      <c r="Y13" s="140">
        <v>350000</v>
      </c>
      <c r="Z13" s="140">
        <v>950000</v>
      </c>
      <c r="AA13" s="140">
        <v>410000</v>
      </c>
      <c r="AB13" s="140">
        <v>50000</v>
      </c>
      <c r="AC13" s="140">
        <v>410000</v>
      </c>
      <c r="AD13" s="140">
        <v>950000</v>
      </c>
      <c r="AE13" s="140"/>
      <c r="AF13" s="140">
        <v>50000</v>
      </c>
      <c r="AG13" s="140">
        <v>1010000</v>
      </c>
      <c r="AH13" s="140"/>
      <c r="AI13" s="140"/>
      <c r="AJ13" s="141">
        <f>COUNTIF(D13:AI13,"&gt;0")</f>
        <v>24</v>
      </c>
    </row>
    <row r="14" spans="1:37" x14ac:dyDescent="0.2">
      <c r="B14" s="13" t="s">
        <v>47</v>
      </c>
      <c r="C14" s="145">
        <f>SUM(D14:AI14)</f>
        <v>9100000</v>
      </c>
      <c r="D14" s="140">
        <v>650000</v>
      </c>
      <c r="E14" s="140"/>
      <c r="F14" s="140">
        <v>1650000</v>
      </c>
      <c r="G14" s="140"/>
      <c r="H14" s="140">
        <v>290000</v>
      </c>
      <c r="I14" s="140"/>
      <c r="J14" s="140"/>
      <c r="K14" s="140">
        <v>50000</v>
      </c>
      <c r="L14" s="140">
        <v>50000</v>
      </c>
      <c r="M14" s="140">
        <v>50000</v>
      </c>
      <c r="N14" s="140">
        <v>50000</v>
      </c>
      <c r="O14" s="140">
        <v>1650000</v>
      </c>
      <c r="P14" s="140">
        <v>50000</v>
      </c>
      <c r="Q14" s="140">
        <v>50000</v>
      </c>
      <c r="R14" s="140"/>
      <c r="S14" s="140">
        <v>410000</v>
      </c>
      <c r="T14" s="140"/>
      <c r="U14" s="140"/>
      <c r="V14" s="140"/>
      <c r="W14" s="140"/>
      <c r="X14" s="140"/>
      <c r="Y14" s="140">
        <v>50000</v>
      </c>
      <c r="Z14" s="140">
        <v>50000</v>
      </c>
      <c r="AA14" s="140">
        <v>50000</v>
      </c>
      <c r="AB14" s="140">
        <v>50000</v>
      </c>
      <c r="AC14" s="140"/>
      <c r="AD14" s="140"/>
      <c r="AE14" s="140">
        <v>50000</v>
      </c>
      <c r="AF14" s="140">
        <v>950000</v>
      </c>
      <c r="AG14" s="140">
        <v>1250000</v>
      </c>
      <c r="AH14" s="140">
        <v>50000</v>
      </c>
      <c r="AI14" s="140">
        <v>1650000</v>
      </c>
      <c r="AJ14" s="141">
        <f>COUNTIF(D14:AI14,"&gt;0")</f>
        <v>20</v>
      </c>
    </row>
    <row r="15" spans="1:37" s="24" customFormat="1" x14ac:dyDescent="0.2">
      <c r="B15" s="13" t="s">
        <v>9</v>
      </c>
      <c r="C15" s="145">
        <f>SUM(D15:AI15)</f>
        <v>8740000</v>
      </c>
      <c r="D15" s="140"/>
      <c r="E15" s="140">
        <v>1050000</v>
      </c>
      <c r="F15" s="140">
        <v>50000</v>
      </c>
      <c r="G15" s="140">
        <v>50000</v>
      </c>
      <c r="H15" s="140"/>
      <c r="I15" s="140"/>
      <c r="J15" s="140"/>
      <c r="K15" s="140"/>
      <c r="L15" s="140"/>
      <c r="M15" s="140"/>
      <c r="N15" s="140">
        <v>50000</v>
      </c>
      <c r="O15" s="140">
        <v>2050000</v>
      </c>
      <c r="P15" s="140"/>
      <c r="Q15" s="140">
        <v>530000</v>
      </c>
      <c r="R15" s="140">
        <v>50000</v>
      </c>
      <c r="S15" s="140">
        <v>50000</v>
      </c>
      <c r="T15" s="140">
        <v>150000</v>
      </c>
      <c r="U15" s="140">
        <v>1250000</v>
      </c>
      <c r="V15" s="140">
        <v>1010000</v>
      </c>
      <c r="W15" s="140"/>
      <c r="X15" s="140">
        <v>50000</v>
      </c>
      <c r="Y15" s="140"/>
      <c r="Z15" s="140"/>
      <c r="AA15" s="140">
        <v>770000</v>
      </c>
      <c r="AB15" s="140">
        <v>50000</v>
      </c>
      <c r="AC15" s="140">
        <v>530000</v>
      </c>
      <c r="AD15" s="140"/>
      <c r="AE15" s="140"/>
      <c r="AF15" s="140"/>
      <c r="AG15" s="140">
        <v>950000</v>
      </c>
      <c r="AH15" s="140">
        <v>50000</v>
      </c>
      <c r="AI15" s="140">
        <v>50000</v>
      </c>
      <c r="AJ15" s="141">
        <f>COUNTIF(D15:AI15,"&gt;0")</f>
        <v>18</v>
      </c>
    </row>
    <row r="16" spans="1:37" x14ac:dyDescent="0.2">
      <c r="B16" s="13" t="s">
        <v>37</v>
      </c>
      <c r="C16" s="145">
        <f>SUM(D16:AI16)</f>
        <v>8550000</v>
      </c>
      <c r="D16" s="140">
        <v>850000</v>
      </c>
      <c r="E16" s="140">
        <v>590000</v>
      </c>
      <c r="F16" s="140"/>
      <c r="G16" s="140"/>
      <c r="H16" s="140">
        <v>50000</v>
      </c>
      <c r="I16" s="140"/>
      <c r="J16" s="140"/>
      <c r="K16" s="140"/>
      <c r="L16" s="140"/>
      <c r="M16" s="140"/>
      <c r="N16" s="140">
        <v>1550000</v>
      </c>
      <c r="O16" s="140">
        <v>50000</v>
      </c>
      <c r="P16" s="140">
        <v>630000</v>
      </c>
      <c r="Q16" s="140">
        <v>50000</v>
      </c>
      <c r="R16" s="140">
        <v>690000</v>
      </c>
      <c r="S16" s="140">
        <v>290000</v>
      </c>
      <c r="T16" s="140">
        <v>1910000</v>
      </c>
      <c r="U16" s="140"/>
      <c r="V16" s="140"/>
      <c r="W16" s="140">
        <v>50000</v>
      </c>
      <c r="X16" s="140"/>
      <c r="Y16" s="140">
        <v>650000</v>
      </c>
      <c r="Z16" s="140">
        <v>50000</v>
      </c>
      <c r="AA16" s="140">
        <v>50000</v>
      </c>
      <c r="AB16" s="140">
        <v>410000</v>
      </c>
      <c r="AC16" s="140">
        <v>50000</v>
      </c>
      <c r="AD16" s="140">
        <v>50000</v>
      </c>
      <c r="AE16" s="140"/>
      <c r="AF16" s="140"/>
      <c r="AG16" s="140">
        <v>50000</v>
      </c>
      <c r="AH16" s="140"/>
      <c r="AI16" s="140">
        <v>530000</v>
      </c>
      <c r="AJ16" s="141">
        <f>COUNTIF(D16:AI16,"&gt;0")</f>
        <v>19</v>
      </c>
    </row>
    <row r="17" spans="1:36" x14ac:dyDescent="0.2">
      <c r="B17" s="13" t="s">
        <v>23</v>
      </c>
      <c r="C17" s="145">
        <f>SUM(D17:AI17)</f>
        <v>7590000</v>
      </c>
      <c r="D17" s="140">
        <v>2750000</v>
      </c>
      <c r="E17" s="140">
        <v>770000</v>
      </c>
      <c r="F17" s="140">
        <v>50000</v>
      </c>
      <c r="G17" s="140"/>
      <c r="H17" s="140"/>
      <c r="I17" s="140">
        <v>50000</v>
      </c>
      <c r="J17" s="140">
        <v>50000</v>
      </c>
      <c r="K17" s="140">
        <v>50000</v>
      </c>
      <c r="L17" s="140">
        <v>50000</v>
      </c>
      <c r="M17" s="140"/>
      <c r="N17" s="140">
        <v>50000</v>
      </c>
      <c r="O17" s="140">
        <v>50000</v>
      </c>
      <c r="P17" s="140"/>
      <c r="Q17" s="140"/>
      <c r="R17" s="140"/>
      <c r="S17" s="140">
        <v>950000</v>
      </c>
      <c r="T17" s="140">
        <v>50000</v>
      </c>
      <c r="U17" s="140"/>
      <c r="V17" s="140"/>
      <c r="W17" s="140"/>
      <c r="X17" s="140">
        <v>510000</v>
      </c>
      <c r="Y17" s="140"/>
      <c r="Z17" s="140"/>
      <c r="AA17" s="140"/>
      <c r="AB17" s="140">
        <v>770000</v>
      </c>
      <c r="AC17" s="140">
        <v>50000</v>
      </c>
      <c r="AD17" s="140"/>
      <c r="AE17" s="140"/>
      <c r="AF17" s="140"/>
      <c r="AG17" s="140">
        <v>50000</v>
      </c>
      <c r="AH17" s="140">
        <v>650000</v>
      </c>
      <c r="AI17" s="140">
        <v>690000</v>
      </c>
      <c r="AJ17" s="141">
        <f>COUNTIF(D17:AI17,"&gt;0")</f>
        <v>17</v>
      </c>
    </row>
    <row r="18" spans="1:36" x14ac:dyDescent="0.2">
      <c r="A18" s="24"/>
      <c r="B18" s="13" t="s">
        <v>33</v>
      </c>
      <c r="C18" s="145">
        <f>SUM(D18:AI18)</f>
        <v>7520000</v>
      </c>
      <c r="D18" s="140"/>
      <c r="E18" s="140"/>
      <c r="F18" s="140"/>
      <c r="G18" s="140">
        <v>1100000</v>
      </c>
      <c r="H18" s="140"/>
      <c r="I18" s="140">
        <v>450000</v>
      </c>
      <c r="J18" s="140">
        <v>550000</v>
      </c>
      <c r="K18" s="140"/>
      <c r="L18" s="140"/>
      <c r="M18" s="140">
        <v>50000</v>
      </c>
      <c r="N18" s="140">
        <v>50000</v>
      </c>
      <c r="O18" s="140"/>
      <c r="P18" s="140"/>
      <c r="Q18" s="140">
        <v>1250000</v>
      </c>
      <c r="R18" s="140"/>
      <c r="S18" s="140"/>
      <c r="T18" s="140">
        <v>390000</v>
      </c>
      <c r="U18" s="140">
        <v>290000</v>
      </c>
      <c r="V18" s="140"/>
      <c r="W18" s="140">
        <v>50000</v>
      </c>
      <c r="X18" s="140">
        <v>50000</v>
      </c>
      <c r="Y18" s="140"/>
      <c r="Z18" s="140"/>
      <c r="AA18" s="140"/>
      <c r="AB18" s="140"/>
      <c r="AC18" s="140">
        <v>770000</v>
      </c>
      <c r="AD18" s="140"/>
      <c r="AE18" s="140">
        <v>870000</v>
      </c>
      <c r="AF18" s="140"/>
      <c r="AG18" s="140">
        <v>1550000</v>
      </c>
      <c r="AH18" s="242">
        <v>50000</v>
      </c>
      <c r="AI18" s="140">
        <v>50000</v>
      </c>
      <c r="AJ18" s="141">
        <f>COUNTIF(D18:AI18,"&gt;0")</f>
        <v>15</v>
      </c>
    </row>
    <row r="19" spans="1:36" x14ac:dyDescent="0.2">
      <c r="B19" s="13" t="s">
        <v>13</v>
      </c>
      <c r="C19" s="145">
        <f>SUM(D19:AI19)</f>
        <v>6700000</v>
      </c>
      <c r="D19" s="140"/>
      <c r="E19" s="140"/>
      <c r="F19" s="140"/>
      <c r="G19" s="140"/>
      <c r="H19" s="140">
        <v>50000</v>
      </c>
      <c r="I19" s="140"/>
      <c r="J19" s="140"/>
      <c r="K19" s="140">
        <v>770000</v>
      </c>
      <c r="L19" s="140">
        <v>290000</v>
      </c>
      <c r="M19" s="140">
        <v>1130000</v>
      </c>
      <c r="N19" s="140"/>
      <c r="O19" s="140">
        <v>690000</v>
      </c>
      <c r="P19" s="140">
        <v>50000</v>
      </c>
      <c r="Q19" s="140"/>
      <c r="R19" s="140"/>
      <c r="S19" s="140"/>
      <c r="T19" s="140">
        <v>1250000</v>
      </c>
      <c r="U19" s="140"/>
      <c r="V19" s="140"/>
      <c r="W19" s="140"/>
      <c r="X19" s="140">
        <v>290000</v>
      </c>
      <c r="Y19" s="140"/>
      <c r="Z19" s="140"/>
      <c r="AA19" s="140"/>
      <c r="AB19" s="140">
        <v>290000</v>
      </c>
      <c r="AC19" s="140"/>
      <c r="AD19" s="140"/>
      <c r="AE19" s="140">
        <v>1550000</v>
      </c>
      <c r="AF19" s="140">
        <v>50000</v>
      </c>
      <c r="AG19" s="140">
        <v>290000</v>
      </c>
      <c r="AH19" s="242"/>
      <c r="AI19" s="140"/>
      <c r="AJ19" s="141">
        <f>COUNTIF(D19:AI19,"&gt;0")</f>
        <v>12</v>
      </c>
    </row>
    <row r="20" spans="1:36" x14ac:dyDescent="0.2">
      <c r="B20" s="13" t="s">
        <v>25</v>
      </c>
      <c r="C20" s="145">
        <f>SUM(D20:AI20)</f>
        <v>6550000</v>
      </c>
      <c r="D20" s="140"/>
      <c r="E20" s="140"/>
      <c r="F20" s="140">
        <v>1010000</v>
      </c>
      <c r="G20" s="140"/>
      <c r="H20" s="140"/>
      <c r="I20" s="140"/>
      <c r="J20" s="140"/>
      <c r="K20" s="140">
        <v>950000</v>
      </c>
      <c r="L20" s="140"/>
      <c r="M20" s="140">
        <v>50000</v>
      </c>
      <c r="N20" s="140">
        <v>50000</v>
      </c>
      <c r="O20" s="140"/>
      <c r="P20" s="140"/>
      <c r="Q20" s="140">
        <v>50000</v>
      </c>
      <c r="R20" s="140"/>
      <c r="S20" s="140">
        <v>1550000</v>
      </c>
      <c r="T20" s="140">
        <v>50000</v>
      </c>
      <c r="U20" s="140">
        <v>410000</v>
      </c>
      <c r="V20" s="140"/>
      <c r="W20" s="140">
        <v>50000</v>
      </c>
      <c r="X20" s="140"/>
      <c r="Y20" s="140"/>
      <c r="Z20" s="140"/>
      <c r="AA20" s="140"/>
      <c r="AB20" s="140">
        <v>50000</v>
      </c>
      <c r="AC20" s="140">
        <v>50000</v>
      </c>
      <c r="AD20" s="140">
        <v>1550000</v>
      </c>
      <c r="AE20" s="140"/>
      <c r="AF20" s="140"/>
      <c r="AG20" s="140">
        <v>50000</v>
      </c>
      <c r="AH20" s="368">
        <v>50000</v>
      </c>
      <c r="AI20" s="140">
        <v>630000</v>
      </c>
      <c r="AJ20" s="141">
        <f>COUNTIF(D20:AI20,"&gt;0")</f>
        <v>15</v>
      </c>
    </row>
    <row r="21" spans="1:36" x14ac:dyDescent="0.2">
      <c r="B21" s="13" t="s">
        <v>45</v>
      </c>
      <c r="C21" s="145">
        <f>SUM(D21:AI21)</f>
        <v>5800000</v>
      </c>
      <c r="D21" s="140"/>
      <c r="E21" s="140"/>
      <c r="F21" s="140">
        <v>1250000</v>
      </c>
      <c r="G21" s="140"/>
      <c r="H21" s="140">
        <v>650000</v>
      </c>
      <c r="I21" s="140">
        <v>50000</v>
      </c>
      <c r="J21" s="140">
        <v>50000</v>
      </c>
      <c r="K21" s="140"/>
      <c r="L21" s="140">
        <v>770000</v>
      </c>
      <c r="M21" s="140"/>
      <c r="N21" s="140">
        <v>950000</v>
      </c>
      <c r="O21" s="140"/>
      <c r="P21" s="140"/>
      <c r="Q21" s="140"/>
      <c r="R21" s="140"/>
      <c r="S21" s="140"/>
      <c r="T21" s="140">
        <v>50000</v>
      </c>
      <c r="U21" s="140">
        <v>530000</v>
      </c>
      <c r="V21" s="140">
        <v>50000</v>
      </c>
      <c r="W21" s="140"/>
      <c r="X21" s="140"/>
      <c r="Y21" s="140"/>
      <c r="Z21" s="140"/>
      <c r="AA21" s="140">
        <v>50000</v>
      </c>
      <c r="AB21" s="140">
        <v>890000</v>
      </c>
      <c r="AC21" s="140"/>
      <c r="AD21" s="140">
        <v>410000</v>
      </c>
      <c r="AE21" s="140"/>
      <c r="AF21" s="140">
        <v>50000</v>
      </c>
      <c r="AG21" s="140">
        <v>50000</v>
      </c>
      <c r="AH21" s="242"/>
      <c r="AI21" s="140"/>
      <c r="AJ21" s="141">
        <f>COUNTIF(D21:AI21,"&gt;0")</f>
        <v>14</v>
      </c>
    </row>
    <row r="22" spans="1:36" x14ac:dyDescent="0.2">
      <c r="B22" s="13" t="s">
        <v>17</v>
      </c>
      <c r="C22" s="145">
        <f>SUM(D22:AI22)</f>
        <v>5790000</v>
      </c>
      <c r="D22" s="140">
        <v>50000</v>
      </c>
      <c r="E22" s="140"/>
      <c r="F22" s="140"/>
      <c r="G22" s="140">
        <v>50000</v>
      </c>
      <c r="H22" s="140">
        <v>50000</v>
      </c>
      <c r="I22" s="140"/>
      <c r="J22" s="140"/>
      <c r="K22" s="140">
        <v>150000</v>
      </c>
      <c r="L22" s="140"/>
      <c r="M22" s="140">
        <v>1130000</v>
      </c>
      <c r="N22" s="140"/>
      <c r="O22" s="140">
        <v>530000</v>
      </c>
      <c r="P22" s="140"/>
      <c r="Q22" s="140">
        <v>50000</v>
      </c>
      <c r="R22" s="140"/>
      <c r="S22" s="140"/>
      <c r="T22" s="140">
        <v>650000</v>
      </c>
      <c r="U22" s="140">
        <v>50000</v>
      </c>
      <c r="V22" s="140">
        <v>50000</v>
      </c>
      <c r="W22" s="140">
        <v>530000</v>
      </c>
      <c r="X22" s="140">
        <v>50000</v>
      </c>
      <c r="Y22" s="140">
        <v>250000</v>
      </c>
      <c r="Z22" s="140">
        <v>400000</v>
      </c>
      <c r="AA22" s="140">
        <v>50000</v>
      </c>
      <c r="AB22" s="140">
        <v>50000</v>
      </c>
      <c r="AC22" s="140">
        <v>50000</v>
      </c>
      <c r="AD22" s="140"/>
      <c r="AE22" s="140"/>
      <c r="AF22" s="140">
        <v>50000</v>
      </c>
      <c r="AG22" s="140">
        <v>50000</v>
      </c>
      <c r="AH22" s="242">
        <v>1550000</v>
      </c>
      <c r="AI22" s="140"/>
      <c r="AJ22" s="141">
        <f>COUNTIF(D22:AI22,"&gt;0")</f>
        <v>20</v>
      </c>
    </row>
    <row r="23" spans="1:36" x14ac:dyDescent="0.2">
      <c r="B23" s="13" t="s">
        <v>27</v>
      </c>
      <c r="C23" s="145">
        <f>SUM(D23:AI23)</f>
        <v>5030000</v>
      </c>
      <c r="D23" s="140"/>
      <c r="E23" s="140">
        <v>50000</v>
      </c>
      <c r="F23" s="140"/>
      <c r="G23" s="140">
        <v>50000</v>
      </c>
      <c r="H23" s="140">
        <v>530000</v>
      </c>
      <c r="I23" s="140"/>
      <c r="J23" s="140"/>
      <c r="K23" s="140"/>
      <c r="L23" s="140"/>
      <c r="M23" s="140">
        <v>50000</v>
      </c>
      <c r="N23" s="140">
        <v>50000</v>
      </c>
      <c r="O23" s="140"/>
      <c r="P23" s="140">
        <v>410000</v>
      </c>
      <c r="Q23" s="140"/>
      <c r="R23" s="140">
        <v>50000</v>
      </c>
      <c r="S23" s="140"/>
      <c r="T23" s="140"/>
      <c r="U23" s="140"/>
      <c r="V23" s="140">
        <v>50000</v>
      </c>
      <c r="W23" s="140">
        <v>850000</v>
      </c>
      <c r="X23" s="140">
        <v>50000</v>
      </c>
      <c r="Y23" s="140">
        <v>50000</v>
      </c>
      <c r="Z23" s="140">
        <v>400000</v>
      </c>
      <c r="AA23" s="140">
        <v>50000</v>
      </c>
      <c r="AB23" s="140">
        <v>50000</v>
      </c>
      <c r="AC23" s="140"/>
      <c r="AD23" s="140">
        <v>1250000</v>
      </c>
      <c r="AE23" s="140">
        <v>50000</v>
      </c>
      <c r="AF23" s="140">
        <v>50000</v>
      </c>
      <c r="AG23" s="140">
        <v>530000</v>
      </c>
      <c r="AH23" s="242">
        <v>410000</v>
      </c>
      <c r="AI23" s="140">
        <v>50000</v>
      </c>
      <c r="AJ23" s="141">
        <f>COUNTIF(G23:AI23,"&gt;0")</f>
        <v>19</v>
      </c>
    </row>
    <row r="24" spans="1:36" x14ac:dyDescent="0.2">
      <c r="B24" s="13" t="s">
        <v>53</v>
      </c>
      <c r="C24" s="145">
        <f>SUM(D24:AI24)</f>
        <v>4380000</v>
      </c>
      <c r="D24" s="140">
        <v>650000</v>
      </c>
      <c r="E24" s="140"/>
      <c r="F24" s="140">
        <v>50000</v>
      </c>
      <c r="G24" s="140"/>
      <c r="H24" s="140"/>
      <c r="I24" s="140"/>
      <c r="J24" s="140"/>
      <c r="K24" s="140">
        <v>1350000</v>
      </c>
      <c r="L24" s="140">
        <v>50000</v>
      </c>
      <c r="M24" s="140">
        <v>50000</v>
      </c>
      <c r="N24" s="140"/>
      <c r="O24" s="140"/>
      <c r="P24" s="140"/>
      <c r="Q24" s="140">
        <v>50000</v>
      </c>
      <c r="R24" s="140"/>
      <c r="S24" s="140">
        <v>410000</v>
      </c>
      <c r="T24" s="140">
        <v>770000</v>
      </c>
      <c r="U24" s="140">
        <v>50000</v>
      </c>
      <c r="V24" s="140"/>
      <c r="W24" s="140"/>
      <c r="X24" s="140">
        <v>650000</v>
      </c>
      <c r="Y24" s="140"/>
      <c r="Z24" s="140"/>
      <c r="AA24" s="140">
        <v>50000</v>
      </c>
      <c r="AB24" s="140"/>
      <c r="AC24" s="140"/>
      <c r="AD24" s="140"/>
      <c r="AE24" s="140">
        <v>150000</v>
      </c>
      <c r="AF24" s="140"/>
      <c r="AG24" s="140">
        <v>50000</v>
      </c>
      <c r="AH24" s="242"/>
      <c r="AI24" s="140">
        <v>50000</v>
      </c>
      <c r="AJ24" s="141">
        <f>COUNTIF(D24:AI24,"&gt;0")</f>
        <v>14</v>
      </c>
    </row>
    <row r="25" spans="1:36" x14ac:dyDescent="0.2">
      <c r="A25" s="24"/>
      <c r="B25" s="13" t="s">
        <v>181</v>
      </c>
      <c r="C25" s="145">
        <f>SUM(D25:AI25)</f>
        <v>1740000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>
        <v>50000</v>
      </c>
      <c r="R25" s="140">
        <v>370000</v>
      </c>
      <c r="S25" s="140">
        <v>530000</v>
      </c>
      <c r="T25" s="140"/>
      <c r="U25" s="140">
        <v>50000</v>
      </c>
      <c r="V25" s="140">
        <v>50000</v>
      </c>
      <c r="W25" s="140">
        <v>50000</v>
      </c>
      <c r="X25" s="140">
        <v>150000</v>
      </c>
      <c r="Y25" s="140"/>
      <c r="Z25" s="140"/>
      <c r="AA25" s="140"/>
      <c r="AB25" s="140"/>
      <c r="AC25" s="140">
        <v>50000</v>
      </c>
      <c r="AD25" s="140">
        <v>290000</v>
      </c>
      <c r="AE25" s="140">
        <v>50000</v>
      </c>
      <c r="AF25" s="140">
        <v>50000</v>
      </c>
      <c r="AG25" s="140"/>
      <c r="AH25" s="242">
        <v>50000</v>
      </c>
      <c r="AI25" s="140"/>
      <c r="AJ25" s="141">
        <f>COUNTIF(D25:AI25,"&gt;0")</f>
        <v>12</v>
      </c>
    </row>
    <row r="26" spans="1:36" x14ac:dyDescent="0.2">
      <c r="B26" s="13" t="s">
        <v>51</v>
      </c>
      <c r="C26" s="145">
        <f>SUM(D26:AI26)</f>
        <v>770000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>
        <v>470000</v>
      </c>
      <c r="N26" s="140">
        <v>50000</v>
      </c>
      <c r="O26" s="140"/>
      <c r="P26" s="140"/>
      <c r="Q26" s="140"/>
      <c r="R26" s="140"/>
      <c r="S26" s="140">
        <v>50000</v>
      </c>
      <c r="T26" s="140">
        <v>50000</v>
      </c>
      <c r="U26" s="140">
        <v>50000</v>
      </c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>
        <v>50000</v>
      </c>
      <c r="AG26" s="140"/>
      <c r="AH26" s="368">
        <v>50000</v>
      </c>
      <c r="AI26" s="140"/>
      <c r="AJ26" s="141">
        <f>COUNTIF(D26:AI26,"&gt;0")</f>
        <v>7</v>
      </c>
    </row>
    <row r="27" spans="1:36" x14ac:dyDescent="0.2">
      <c r="B27" s="13" t="s">
        <v>21</v>
      </c>
      <c r="C27" s="145">
        <f>SUM(D27:AI27)</f>
        <v>740000</v>
      </c>
      <c r="D27" s="140"/>
      <c r="E27" s="140">
        <v>50000</v>
      </c>
      <c r="F27" s="140"/>
      <c r="G27" s="140">
        <v>50000</v>
      </c>
      <c r="H27" s="140">
        <v>50000</v>
      </c>
      <c r="I27" s="140"/>
      <c r="J27" s="140"/>
      <c r="K27" s="140"/>
      <c r="L27" s="140">
        <v>50000</v>
      </c>
      <c r="M27" s="140"/>
      <c r="N27" s="140">
        <v>50000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0">
        <v>50000</v>
      </c>
      <c r="Y27" s="140"/>
      <c r="Z27" s="140"/>
      <c r="AA27" s="140">
        <v>290000</v>
      </c>
      <c r="AB27" s="140">
        <v>50000</v>
      </c>
      <c r="AC27" s="140"/>
      <c r="AD27" s="140"/>
      <c r="AE27" s="140"/>
      <c r="AF27" s="140"/>
      <c r="AG27" s="140"/>
      <c r="AH27" s="242">
        <v>50000</v>
      </c>
      <c r="AI27" s="140">
        <v>50000</v>
      </c>
      <c r="AJ27" s="141">
        <f>COUNTIF(D27:AI27,"&gt;0")</f>
        <v>10</v>
      </c>
    </row>
    <row r="28" spans="1:36" x14ac:dyDescent="0.2">
      <c r="B28" s="146"/>
      <c r="C28" s="147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6"/>
    </row>
    <row r="29" spans="1:36" s="336" customFormat="1" x14ac:dyDescent="0.15">
      <c r="B29" s="337" t="s">
        <v>57</v>
      </c>
      <c r="C29" s="338"/>
      <c r="D29" s="338">
        <f t="shared" ref="D29:AJ29" si="0">SUM(D3:D27)</f>
        <v>14850000</v>
      </c>
      <c r="E29" s="338">
        <f t="shared" si="0"/>
        <v>10390000</v>
      </c>
      <c r="F29" s="338">
        <f t="shared" si="0"/>
        <v>9180000</v>
      </c>
      <c r="G29" s="338">
        <f t="shared" si="0"/>
        <v>8170000</v>
      </c>
      <c r="H29" s="338">
        <f t="shared" si="0"/>
        <v>7110000</v>
      </c>
      <c r="I29" s="338">
        <f t="shared" si="0"/>
        <v>6800000</v>
      </c>
      <c r="J29" s="338">
        <f t="shared" si="0"/>
        <v>6200000</v>
      </c>
      <c r="K29" s="338">
        <f t="shared" si="0"/>
        <v>7210000</v>
      </c>
      <c r="L29" s="338">
        <f t="shared" si="0"/>
        <v>7210000</v>
      </c>
      <c r="M29" s="338">
        <f t="shared" si="0"/>
        <v>7210000</v>
      </c>
      <c r="N29" s="338">
        <f t="shared" si="0"/>
        <v>7360000</v>
      </c>
      <c r="O29" s="338">
        <f t="shared" si="0"/>
        <v>9280000</v>
      </c>
      <c r="P29" s="338">
        <f t="shared" si="0"/>
        <v>7260000</v>
      </c>
      <c r="Q29" s="338">
        <f t="shared" si="0"/>
        <v>7060000</v>
      </c>
      <c r="R29" s="338">
        <f t="shared" si="0"/>
        <v>8600000</v>
      </c>
      <c r="S29" s="338">
        <f t="shared" si="0"/>
        <v>7110000</v>
      </c>
      <c r="T29" s="338">
        <f t="shared" si="0"/>
        <v>7560000</v>
      </c>
      <c r="U29" s="338">
        <f t="shared" si="0"/>
        <v>7260000</v>
      </c>
      <c r="V29" s="338">
        <f t="shared" si="0"/>
        <v>7060000</v>
      </c>
      <c r="W29" s="338">
        <f t="shared" si="0"/>
        <v>8810000</v>
      </c>
      <c r="X29" s="338">
        <f t="shared" si="0"/>
        <v>7560000</v>
      </c>
      <c r="Y29" s="338">
        <f t="shared" si="0"/>
        <v>6600000</v>
      </c>
      <c r="Z29" s="338">
        <f t="shared" si="0"/>
        <v>5350000</v>
      </c>
      <c r="AA29" s="338">
        <f t="shared" si="0"/>
        <v>7260000</v>
      </c>
      <c r="AB29" s="338">
        <f t="shared" si="0"/>
        <v>7310000</v>
      </c>
      <c r="AC29" s="338">
        <f t="shared" si="0"/>
        <v>7160000</v>
      </c>
      <c r="AD29" s="338">
        <f t="shared" si="0"/>
        <v>7060000</v>
      </c>
      <c r="AE29" s="338">
        <f t="shared" si="0"/>
        <v>7610000</v>
      </c>
      <c r="AF29" s="338">
        <f t="shared" si="0"/>
        <v>7260000</v>
      </c>
      <c r="AG29" s="338">
        <f t="shared" si="0"/>
        <v>7410000</v>
      </c>
      <c r="AH29" s="338">
        <f t="shared" si="0"/>
        <v>7510000</v>
      </c>
      <c r="AI29" s="338">
        <f t="shared" si="0"/>
        <v>9330000</v>
      </c>
      <c r="AJ29" s="146">
        <f t="shared" si="0"/>
        <v>488</v>
      </c>
    </row>
    <row r="31" spans="1:36" x14ac:dyDescent="0.2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sheetProtection selectLockedCells="1" selectUnlockedCells="1"/>
  <autoFilter ref="A2:AJ27" xr:uid="{00000000-0009-0000-0000-000002000000}">
    <sortState ref="A3:AJ27">
      <sortCondition descending="1" ref="C2:C27"/>
    </sortState>
  </autoFilter>
  <sortState ref="B3:AI27">
    <sortCondition ref="B3:B27"/>
  </sortState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28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140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227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14.9</v>
      </c>
      <c r="C4" s="71">
        <v>40</v>
      </c>
      <c r="D4" s="72">
        <v>28</v>
      </c>
      <c r="E4" s="87">
        <v>13.68</v>
      </c>
      <c r="F4" s="71">
        <v>1</v>
      </c>
      <c r="G4" s="71">
        <v>10</v>
      </c>
      <c r="H4" s="74">
        <f>N4+I4</f>
        <v>1910000</v>
      </c>
      <c r="I4" s="75">
        <f t="shared" ref="I4:I28" si="0">IF(E4&gt;0,$N$13,0)+IF(C4&gt;0,50000,0)+IF(C12&lt;0,50000,0)</f>
        <v>410000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18</v>
      </c>
      <c r="B5" s="237">
        <v>15.8</v>
      </c>
      <c r="C5" s="71">
        <v>38</v>
      </c>
      <c r="D5" s="72">
        <v>30</v>
      </c>
      <c r="E5" s="87"/>
      <c r="F5" s="71">
        <v>2</v>
      </c>
      <c r="G5" s="71">
        <v>8</v>
      </c>
      <c r="H5" s="74">
        <f>N5+I5</f>
        <v>1250000</v>
      </c>
      <c r="I5" s="75">
        <f t="shared" si="0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30</v>
      </c>
      <c r="B6" s="237">
        <v>10.7</v>
      </c>
      <c r="C6" s="91">
        <v>35</v>
      </c>
      <c r="D6" s="72">
        <v>27</v>
      </c>
      <c r="E6" s="73"/>
      <c r="F6" s="12">
        <v>3</v>
      </c>
      <c r="G6" s="12">
        <v>6</v>
      </c>
      <c r="H6" s="74">
        <f t="shared" ref="H6:H11" si="1">N6+I6</f>
        <v>950000</v>
      </c>
      <c r="I6" s="75">
        <f t="shared" si="0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8</v>
      </c>
      <c r="B7" s="237">
        <v>21.3</v>
      </c>
      <c r="C7" s="12">
        <v>31</v>
      </c>
      <c r="D7" s="91">
        <v>35</v>
      </c>
      <c r="E7" s="87"/>
      <c r="F7" s="71">
        <v>4</v>
      </c>
      <c r="G7" s="71">
        <v>5</v>
      </c>
      <c r="H7" s="74">
        <f t="shared" si="1"/>
        <v>770000</v>
      </c>
      <c r="I7" s="75">
        <f t="shared" si="0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28</v>
      </c>
      <c r="B8" s="237">
        <v>12.1</v>
      </c>
      <c r="C8" s="71">
        <v>30</v>
      </c>
      <c r="D8" s="72">
        <v>34</v>
      </c>
      <c r="E8" s="73"/>
      <c r="F8" s="71">
        <v>5</v>
      </c>
      <c r="G8" s="71">
        <v>4</v>
      </c>
      <c r="H8" s="74">
        <f t="shared" si="1"/>
        <v>650000</v>
      </c>
      <c r="I8" s="75">
        <f t="shared" si="0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147</v>
      </c>
      <c r="B9" s="237">
        <v>10.6</v>
      </c>
      <c r="C9" s="72">
        <v>29</v>
      </c>
      <c r="D9" s="72">
        <v>33</v>
      </c>
      <c r="E9" s="87"/>
      <c r="F9" s="88">
        <v>6</v>
      </c>
      <c r="G9" s="88">
        <v>3</v>
      </c>
      <c r="H9" s="74">
        <f t="shared" si="1"/>
        <v>530000</v>
      </c>
      <c r="I9" s="75">
        <f t="shared" si="0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14</v>
      </c>
      <c r="B10" s="237">
        <v>11.9</v>
      </c>
      <c r="C10" s="71">
        <v>29</v>
      </c>
      <c r="D10" s="72">
        <v>32</v>
      </c>
      <c r="E10" s="73"/>
      <c r="F10" s="71">
        <v>7</v>
      </c>
      <c r="G10" s="71">
        <v>2</v>
      </c>
      <c r="H10" s="74">
        <f t="shared" si="1"/>
        <v>410000</v>
      </c>
      <c r="I10" s="75">
        <f t="shared" si="0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20</v>
      </c>
      <c r="B11" s="237">
        <v>17</v>
      </c>
      <c r="C11" s="71">
        <v>29</v>
      </c>
      <c r="D11" s="91">
        <v>30</v>
      </c>
      <c r="E11" s="87"/>
      <c r="F11" s="71">
        <v>8</v>
      </c>
      <c r="G11" s="71">
        <v>1</v>
      </c>
      <c r="H11" s="74">
        <f t="shared" si="1"/>
        <v>290000</v>
      </c>
      <c r="I11" s="75">
        <f t="shared" si="0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36</v>
      </c>
      <c r="B12" s="237">
        <v>19.100000000000001</v>
      </c>
      <c r="C12" s="71">
        <v>29</v>
      </c>
      <c r="D12" s="72">
        <v>39</v>
      </c>
      <c r="E12" s="73"/>
      <c r="F12" s="71"/>
      <c r="G12" s="71"/>
      <c r="H12" s="74">
        <f t="shared" ref="H12:H28" si="2">I12</f>
        <v>50000</v>
      </c>
      <c r="I12" s="75">
        <f t="shared" si="0"/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40</v>
      </c>
      <c r="B13" s="237">
        <v>22.5</v>
      </c>
      <c r="C13" s="71">
        <v>29</v>
      </c>
      <c r="D13" s="72">
        <v>37</v>
      </c>
      <c r="E13" s="73"/>
      <c r="F13" s="71"/>
      <c r="G13" s="71"/>
      <c r="H13" s="74">
        <f t="shared" si="2"/>
        <v>50000</v>
      </c>
      <c r="I13" s="75">
        <f t="shared" si="0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26</v>
      </c>
      <c r="B14" s="237">
        <v>23.6</v>
      </c>
      <c r="C14" s="12">
        <v>29</v>
      </c>
      <c r="D14" s="72">
        <v>38</v>
      </c>
      <c r="E14" s="73"/>
      <c r="F14" s="71"/>
      <c r="G14" s="71"/>
      <c r="H14" s="74">
        <f t="shared" si="2"/>
        <v>50000</v>
      </c>
      <c r="I14" s="75">
        <f t="shared" si="0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44</v>
      </c>
      <c r="B15" s="237">
        <v>15.7</v>
      </c>
      <c r="C15" s="72">
        <v>27</v>
      </c>
      <c r="D15" s="91">
        <v>36</v>
      </c>
      <c r="E15" s="73"/>
      <c r="F15" s="71"/>
      <c r="G15" s="71"/>
      <c r="H15" s="74">
        <f t="shared" si="2"/>
        <v>50000</v>
      </c>
      <c r="I15" s="75">
        <f t="shared" si="0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46</v>
      </c>
      <c r="B16" s="237">
        <v>22.7</v>
      </c>
      <c r="C16" s="72">
        <v>26</v>
      </c>
      <c r="D16" s="72">
        <v>44</v>
      </c>
      <c r="E16" s="87"/>
      <c r="F16" s="12"/>
      <c r="G16" s="12"/>
      <c r="H16" s="74">
        <f t="shared" si="2"/>
        <v>50000</v>
      </c>
      <c r="I16" s="75">
        <f t="shared" si="0"/>
        <v>50000</v>
      </c>
    </row>
    <row r="17" spans="1:13" s="80" customFormat="1" ht="18" customHeight="1" x14ac:dyDescent="0.15">
      <c r="A17" s="362" t="s">
        <v>52</v>
      </c>
      <c r="B17" s="237">
        <v>11.6</v>
      </c>
      <c r="C17" s="71">
        <v>25</v>
      </c>
      <c r="D17" s="91">
        <v>39</v>
      </c>
      <c r="E17" s="73"/>
      <c r="F17" s="12"/>
      <c r="G17" s="12"/>
      <c r="H17" s="74">
        <f t="shared" si="2"/>
        <v>50000</v>
      </c>
      <c r="I17" s="75">
        <f t="shared" ref="I17:I25" si="3">IF(E17&gt;0,$N$13,0)+IF(C17&gt;0,50000,0)+IF(C26&lt;0,50000,0)</f>
        <v>50000</v>
      </c>
      <c r="J17" s="85"/>
      <c r="K17" s="85"/>
      <c r="L17" s="85"/>
      <c r="M17" s="86"/>
    </row>
    <row r="18" spans="1:13" s="80" customFormat="1" ht="18" customHeight="1" x14ac:dyDescent="0.15">
      <c r="A18" s="362" t="s">
        <v>42</v>
      </c>
      <c r="B18" s="237">
        <v>16.8</v>
      </c>
      <c r="C18" s="71">
        <v>24</v>
      </c>
      <c r="D18" s="72">
        <v>40</v>
      </c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3" s="80" customFormat="1" ht="18" customHeight="1" x14ac:dyDescent="0.15">
      <c r="A19" s="362" t="s">
        <v>38</v>
      </c>
      <c r="B19" s="237">
        <v>14.3</v>
      </c>
      <c r="C19" s="71">
        <v>22</v>
      </c>
      <c r="D19" s="91">
        <v>37</v>
      </c>
      <c r="E19" s="87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</row>
    <row r="20" spans="1:13" s="56" customFormat="1" ht="18" customHeight="1" x14ac:dyDescent="0.15">
      <c r="A20" s="362" t="s">
        <v>48</v>
      </c>
      <c r="B20" s="237">
        <v>8.5</v>
      </c>
      <c r="C20" s="72">
        <v>21</v>
      </c>
      <c r="D20" s="91">
        <v>33</v>
      </c>
      <c r="E20" s="73"/>
      <c r="F20" s="12"/>
      <c r="G20" s="12"/>
      <c r="H20" s="74">
        <f t="shared" si="2"/>
        <v>50000</v>
      </c>
      <c r="I20" s="75">
        <f t="shared" si="3"/>
        <v>50000</v>
      </c>
    </row>
    <row r="21" spans="1:13" s="56" customFormat="1" ht="18" customHeight="1" x14ac:dyDescent="0.15">
      <c r="A21" s="362" t="s">
        <v>16</v>
      </c>
      <c r="B21" s="237">
        <v>20.100000000000001</v>
      </c>
      <c r="C21" s="71" t="s">
        <v>215</v>
      </c>
      <c r="D21" s="72" t="s">
        <v>99</v>
      </c>
      <c r="E21" s="73"/>
      <c r="F21" s="12"/>
      <c r="G21" s="12"/>
      <c r="H21" s="74">
        <f t="shared" si="2"/>
        <v>50000</v>
      </c>
      <c r="I21" s="75">
        <f t="shared" si="3"/>
        <v>50000</v>
      </c>
    </row>
    <row r="22" spans="1:13" s="56" customFormat="1" ht="18" customHeight="1" x14ac:dyDescent="0.15">
      <c r="A22" s="362"/>
      <c r="B22" s="237"/>
      <c r="C22" s="71"/>
      <c r="D22" s="91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3" s="56" customFormat="1" ht="18" customHeight="1" x14ac:dyDescent="0.15">
      <c r="A24" s="362"/>
      <c r="B24" s="237"/>
      <c r="C24" s="71"/>
      <c r="D24" s="72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2"/>
      <c r="D25" s="72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3" s="56" customFormat="1" ht="18" customHeight="1" x14ac:dyDescent="0.15">
      <c r="A26" s="362"/>
      <c r="B26" s="237"/>
      <c r="C26" s="71"/>
      <c r="D26" s="72"/>
      <c r="E26" s="73"/>
      <c r="F26" s="12"/>
      <c r="G26" s="12"/>
      <c r="H26" s="74">
        <f t="shared" si="2"/>
        <v>0</v>
      </c>
      <c r="I26" s="75">
        <f t="shared" si="0"/>
        <v>0</v>
      </c>
    </row>
    <row r="27" spans="1:13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0"/>
        <v>0</v>
      </c>
    </row>
    <row r="28" spans="1:13" s="56" customFormat="1" ht="18" customHeight="1" x14ac:dyDescent="0.15">
      <c r="A28" s="362"/>
      <c r="B28" s="237"/>
      <c r="C28" s="71"/>
      <c r="D28" s="91"/>
      <c r="E28" s="87"/>
      <c r="F28" s="71"/>
      <c r="G28" s="71"/>
      <c r="H28" s="74">
        <f t="shared" si="2"/>
        <v>0</v>
      </c>
      <c r="I28" s="75">
        <f t="shared" si="0"/>
        <v>0</v>
      </c>
    </row>
    <row r="29" spans="1:13" ht="24" customHeight="1" x14ac:dyDescent="0.15">
      <c r="A29" s="1"/>
      <c r="B29" s="3"/>
      <c r="C29" s="105"/>
      <c r="D29" s="106">
        <f>SUM(D4:D28)</f>
        <v>592</v>
      </c>
      <c r="E29" s="105"/>
      <c r="F29" s="3"/>
      <c r="G29" s="107">
        <f>SUM(G4:G28)</f>
        <v>39</v>
      </c>
      <c r="H29" s="107">
        <f>SUM(H4:H28)</f>
        <v>7260000</v>
      </c>
      <c r="I29" s="108"/>
    </row>
  </sheetData>
  <sheetProtection selectLockedCells="1" selectUnlockedCells="1"/>
  <sortState ref="A4:C28">
    <sortCondition descending="1" ref="C4:C28"/>
    <sortCondition ref="B4:B2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31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223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224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34</v>
      </c>
      <c r="B4" s="237">
        <v>15.8</v>
      </c>
      <c r="C4" s="72">
        <v>34</v>
      </c>
      <c r="D4" s="72">
        <v>32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 t="shared" ref="I4:I28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30</v>
      </c>
      <c r="B5" s="237">
        <v>10.7</v>
      </c>
      <c r="C5" s="72">
        <v>33</v>
      </c>
      <c r="D5" s="91">
        <v>30</v>
      </c>
      <c r="E5" s="73"/>
      <c r="F5" s="71">
        <v>2</v>
      </c>
      <c r="G5" s="71">
        <v>8</v>
      </c>
      <c r="H5" s="74">
        <f t="shared" si="0"/>
        <v>1250000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40</v>
      </c>
      <c r="B6" s="237">
        <v>22.5</v>
      </c>
      <c r="C6" s="71">
        <v>33</v>
      </c>
      <c r="D6" s="72">
        <v>34</v>
      </c>
      <c r="E6" s="87"/>
      <c r="F6" s="71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22</v>
      </c>
      <c r="B7" s="237">
        <v>13</v>
      </c>
      <c r="C7" s="72">
        <v>32</v>
      </c>
      <c r="D7" s="72">
        <v>35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38</v>
      </c>
      <c r="B8" s="237">
        <v>14.2</v>
      </c>
      <c r="C8" s="12">
        <v>32</v>
      </c>
      <c r="D8" s="72">
        <v>34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44</v>
      </c>
      <c r="B9" s="237">
        <v>15.7</v>
      </c>
      <c r="C9" s="12">
        <v>32</v>
      </c>
      <c r="D9" s="91">
        <v>34</v>
      </c>
      <c r="E9" s="87">
        <v>1.39</v>
      </c>
      <c r="F9" s="71">
        <v>6</v>
      </c>
      <c r="G9" s="71">
        <v>3</v>
      </c>
      <c r="H9" s="74">
        <f t="shared" si="0"/>
        <v>890000</v>
      </c>
      <c r="I9" s="75">
        <f t="shared" si="1"/>
        <v>410000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36</v>
      </c>
      <c r="B10" s="237">
        <v>19</v>
      </c>
      <c r="C10" s="71">
        <v>30</v>
      </c>
      <c r="D10" s="72">
        <v>37</v>
      </c>
      <c r="E10" s="87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12</v>
      </c>
      <c r="B11" s="237">
        <v>15.6</v>
      </c>
      <c r="C11" s="71">
        <v>28</v>
      </c>
      <c r="D11" s="72">
        <v>35</v>
      </c>
      <c r="E11" s="73"/>
      <c r="F11" s="71">
        <v>8</v>
      </c>
      <c r="G11" s="88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18</v>
      </c>
      <c r="B12" s="237">
        <v>15.7</v>
      </c>
      <c r="C12" s="71">
        <v>28</v>
      </c>
      <c r="D12" s="72">
        <v>31</v>
      </c>
      <c r="E12" s="87"/>
      <c r="F12" s="71"/>
      <c r="G12" s="71"/>
      <c r="H12" s="74">
        <f t="shared" ref="H12:H28" si="2">I12</f>
        <v>50000</v>
      </c>
      <c r="I12" s="75">
        <f t="shared" si="1"/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26</v>
      </c>
      <c r="B13" s="237">
        <v>23.5</v>
      </c>
      <c r="C13" s="71">
        <v>27</v>
      </c>
      <c r="D13" s="72">
        <v>39</v>
      </c>
      <c r="E13" s="73"/>
      <c r="F13" s="71"/>
      <c r="G13" s="71"/>
      <c r="H13" s="74">
        <f t="shared" si="2"/>
        <v>50000</v>
      </c>
      <c r="I13" s="75">
        <f t="shared" si="1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14</v>
      </c>
      <c r="B14" s="237">
        <v>11.8</v>
      </c>
      <c r="C14" s="12">
        <v>26</v>
      </c>
      <c r="D14" s="91">
        <v>34</v>
      </c>
      <c r="E14" s="87"/>
      <c r="F14" s="71"/>
      <c r="G14" s="71"/>
      <c r="H14" s="74">
        <f t="shared" si="2"/>
        <v>50000</v>
      </c>
      <c r="I14" s="75">
        <f t="shared" si="1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28</v>
      </c>
      <c r="B15" s="237">
        <v>11.9</v>
      </c>
      <c r="C15" s="72">
        <v>26</v>
      </c>
      <c r="D15" s="91">
        <v>35</v>
      </c>
      <c r="E15" s="73"/>
      <c r="F15" s="71"/>
      <c r="G15" s="71"/>
      <c r="H15" s="74">
        <f t="shared" si="2"/>
        <v>50000</v>
      </c>
      <c r="I15" s="75">
        <f t="shared" si="1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10</v>
      </c>
      <c r="B16" s="237">
        <v>15.3</v>
      </c>
      <c r="C16" s="71">
        <v>26</v>
      </c>
      <c r="D16" s="91">
        <v>34</v>
      </c>
      <c r="E16" s="73"/>
      <c r="F16" s="12"/>
      <c r="G16" s="12"/>
      <c r="H16" s="74">
        <f t="shared" si="2"/>
        <v>50000</v>
      </c>
      <c r="I16" s="75">
        <f t="shared" si="1"/>
        <v>50000</v>
      </c>
    </row>
    <row r="17" spans="1:13" s="80" customFormat="1" ht="18" customHeight="1" x14ac:dyDescent="0.15">
      <c r="A17" s="362" t="s">
        <v>46</v>
      </c>
      <c r="B17" s="237">
        <v>22.6</v>
      </c>
      <c r="C17" s="91">
        <v>26</v>
      </c>
      <c r="D17" s="72">
        <v>38</v>
      </c>
      <c r="E17" s="87"/>
      <c r="F17" s="12"/>
      <c r="G17" s="12"/>
      <c r="H17" s="74">
        <f t="shared" si="2"/>
        <v>50000</v>
      </c>
      <c r="I17" s="75">
        <f t="shared" ref="I17:I25" si="3">IF(E17&gt;0,$N$13,0)+IF(C17&gt;0,50000,0)+IF(C26&lt;0,50000,0)</f>
        <v>50000</v>
      </c>
      <c r="J17" s="85"/>
      <c r="K17" s="85"/>
      <c r="L17" s="85"/>
      <c r="M17" s="86"/>
    </row>
    <row r="18" spans="1:13" s="80" customFormat="1" ht="18" customHeight="1" x14ac:dyDescent="0.15">
      <c r="A18" s="362" t="s">
        <v>24</v>
      </c>
      <c r="B18" s="237">
        <v>13.7</v>
      </c>
      <c r="C18" s="12">
        <v>24</v>
      </c>
      <c r="D18" s="72">
        <v>37</v>
      </c>
      <c r="E18" s="87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3" s="80" customFormat="1" ht="18" customHeight="1" x14ac:dyDescent="0.15">
      <c r="A19" s="362" t="s">
        <v>42</v>
      </c>
      <c r="B19" s="237">
        <v>16.7</v>
      </c>
      <c r="C19" s="71">
        <v>24</v>
      </c>
      <c r="D19" s="72">
        <v>38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</row>
    <row r="20" spans="1:13" s="56" customFormat="1" ht="18" customHeight="1" x14ac:dyDescent="0.15">
      <c r="A20" s="362" t="s">
        <v>20</v>
      </c>
      <c r="B20" s="237">
        <v>16.899999999999999</v>
      </c>
      <c r="C20" s="72">
        <v>24</v>
      </c>
      <c r="D20" s="91">
        <v>38</v>
      </c>
      <c r="E20" s="73"/>
      <c r="F20" s="12"/>
      <c r="G20" s="12"/>
      <c r="H20" s="74">
        <f t="shared" si="2"/>
        <v>50000</v>
      </c>
      <c r="I20" s="75">
        <f t="shared" si="3"/>
        <v>50000</v>
      </c>
    </row>
    <row r="21" spans="1:13" s="56" customFormat="1" ht="18" customHeight="1" x14ac:dyDescent="0.15">
      <c r="A21" s="362" t="s">
        <v>16</v>
      </c>
      <c r="B21" s="237">
        <v>20</v>
      </c>
      <c r="C21" s="12">
        <v>21</v>
      </c>
      <c r="D21" s="72">
        <v>41</v>
      </c>
      <c r="E21" s="73"/>
      <c r="F21" s="12"/>
      <c r="G21" s="12"/>
      <c r="H21" s="74">
        <f t="shared" si="2"/>
        <v>50000</v>
      </c>
      <c r="I21" s="75">
        <f t="shared" si="3"/>
        <v>50000</v>
      </c>
    </row>
    <row r="22" spans="1:13" s="56" customFormat="1" ht="18" customHeight="1" x14ac:dyDescent="0.15">
      <c r="A22" s="362" t="s">
        <v>8</v>
      </c>
      <c r="B22" s="237">
        <v>21.2</v>
      </c>
      <c r="C22" s="72">
        <v>20</v>
      </c>
      <c r="D22" s="72">
        <v>41</v>
      </c>
      <c r="E22" s="73"/>
      <c r="F22" s="12"/>
      <c r="G22" s="12"/>
      <c r="H22" s="74">
        <f t="shared" si="2"/>
        <v>50000</v>
      </c>
      <c r="I22" s="75">
        <f t="shared" si="3"/>
        <v>50000</v>
      </c>
    </row>
    <row r="23" spans="1:13" s="56" customFormat="1" ht="18" customHeight="1" x14ac:dyDescent="0.15">
      <c r="A23" s="362"/>
      <c r="B23" s="237"/>
      <c r="C23" s="1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3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2"/>
      <c r="D25" s="91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3" s="56" customFormat="1" ht="18" customHeight="1" x14ac:dyDescent="0.15">
      <c r="A26" s="362"/>
      <c r="B26" s="237"/>
      <c r="C26" s="71"/>
      <c r="D26" s="91"/>
      <c r="E26" s="73"/>
      <c r="F26" s="12"/>
      <c r="G26" s="12"/>
      <c r="H26" s="74">
        <f t="shared" si="2"/>
        <v>0</v>
      </c>
      <c r="I26" s="75">
        <f t="shared" si="1"/>
        <v>0</v>
      </c>
    </row>
    <row r="27" spans="1:13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1"/>
        <v>0</v>
      </c>
    </row>
    <row r="28" spans="1:13" s="56" customFormat="1" ht="18" customHeight="1" x14ac:dyDescent="0.15">
      <c r="A28" s="362"/>
      <c r="B28" s="237"/>
      <c r="C28" s="72"/>
      <c r="D28" s="72"/>
      <c r="E28" s="87"/>
      <c r="F28" s="71"/>
      <c r="G28" s="71"/>
      <c r="H28" s="74">
        <f t="shared" si="2"/>
        <v>0</v>
      </c>
      <c r="I28" s="75">
        <f t="shared" si="1"/>
        <v>0</v>
      </c>
    </row>
    <row r="29" spans="1:13" ht="24" customHeight="1" x14ac:dyDescent="0.15">
      <c r="A29" s="1"/>
      <c r="B29" s="3"/>
      <c r="C29" s="105"/>
      <c r="D29" s="106">
        <f>SUM(D4:D28)</f>
        <v>677</v>
      </c>
      <c r="E29" s="105"/>
      <c r="F29" s="3"/>
      <c r="G29" s="107">
        <f>SUM(G4:G28)</f>
        <v>39</v>
      </c>
      <c r="H29" s="107">
        <f>SUM(H4:H28)</f>
        <v>7310000</v>
      </c>
      <c r="I29" s="108"/>
    </row>
  </sheetData>
  <sheetProtection selectLockedCells="1" selectUnlockedCells="1"/>
  <sortState ref="A4:C24">
    <sortCondition descending="1" ref="C4:C24"/>
    <sortCondition ref="B4:B24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32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221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222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30</v>
      </c>
      <c r="B4" s="237">
        <v>10.8</v>
      </c>
      <c r="C4" s="72">
        <v>37</v>
      </c>
      <c r="D4" s="72">
        <v>29</v>
      </c>
      <c r="E4" s="73"/>
      <c r="F4" s="71">
        <v>1</v>
      </c>
      <c r="G4" s="71">
        <v>10</v>
      </c>
      <c r="H4" s="74">
        <f>N4+I4</f>
        <v>1550000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34</v>
      </c>
      <c r="B5" s="237">
        <v>16.100000000000001</v>
      </c>
      <c r="C5" s="71">
        <v>35</v>
      </c>
      <c r="D5" s="91">
        <v>36</v>
      </c>
      <c r="E5" s="73"/>
      <c r="F5" s="71">
        <v>2</v>
      </c>
      <c r="G5" s="71">
        <v>8</v>
      </c>
      <c r="H5" s="74">
        <f t="shared" ref="H5:H11" si="0">N5+I5</f>
        <v>1250000</v>
      </c>
      <c r="I5" s="75">
        <f t="shared" ref="I5:I11" si="1"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28</v>
      </c>
      <c r="B6" s="237">
        <v>11.8</v>
      </c>
      <c r="C6" s="71">
        <v>33</v>
      </c>
      <c r="D6" s="91">
        <v>34</v>
      </c>
      <c r="E6" s="73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32</v>
      </c>
      <c r="B7" s="237">
        <v>13.3</v>
      </c>
      <c r="C7" s="71">
        <v>30</v>
      </c>
      <c r="D7" s="72">
        <v>39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38</v>
      </c>
      <c r="B8" s="237">
        <v>14.1</v>
      </c>
      <c r="C8" s="71">
        <v>30</v>
      </c>
      <c r="D8" s="72">
        <v>39</v>
      </c>
      <c r="E8" s="87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8</v>
      </c>
      <c r="B9" s="237">
        <v>21.1</v>
      </c>
      <c r="C9" s="12">
        <v>30</v>
      </c>
      <c r="D9" s="72">
        <v>41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14</v>
      </c>
      <c r="B10" s="237">
        <v>11.7</v>
      </c>
      <c r="C10" s="91">
        <v>28</v>
      </c>
      <c r="D10" s="72">
        <v>37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18</v>
      </c>
      <c r="B11" s="237">
        <v>15.6</v>
      </c>
      <c r="C11" s="71">
        <v>28</v>
      </c>
      <c r="D11" s="72">
        <v>35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22</v>
      </c>
      <c r="B12" s="237">
        <v>12.9</v>
      </c>
      <c r="C12" s="71">
        <v>27</v>
      </c>
      <c r="D12" s="72">
        <v>32</v>
      </c>
      <c r="E12" s="73"/>
      <c r="F12" s="71"/>
      <c r="G12" s="71"/>
      <c r="H12" s="74">
        <f>I12</f>
        <v>50000</v>
      </c>
      <c r="I12" s="75">
        <f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24</v>
      </c>
      <c r="B13" s="237">
        <v>13.6</v>
      </c>
      <c r="C13" s="72">
        <v>26</v>
      </c>
      <c r="D13" s="91">
        <v>38</v>
      </c>
      <c r="E13" s="87"/>
      <c r="F13" s="71"/>
      <c r="G13" s="71"/>
      <c r="H13" s="74">
        <f t="shared" ref="H13:H28" si="2">I13</f>
        <v>50000</v>
      </c>
      <c r="I13" s="75">
        <f t="shared" ref="I13:I28" si="3">IF(E13&gt;0,$N$13,0)+IF(C13&gt;0,50000,0)+IF(C13&lt;0,50000,0)</f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10</v>
      </c>
      <c r="B14" s="237">
        <v>15.2</v>
      </c>
      <c r="C14" s="12">
        <v>25</v>
      </c>
      <c r="D14" s="72">
        <v>35</v>
      </c>
      <c r="E14" s="73">
        <v>1.77</v>
      </c>
      <c r="F14" s="71"/>
      <c r="G14" s="71"/>
      <c r="H14" s="74">
        <f t="shared" si="2"/>
        <v>410000</v>
      </c>
      <c r="I14" s="75">
        <f t="shared" si="3"/>
        <v>410000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42</v>
      </c>
      <c r="B15" s="237">
        <v>16.600000000000001</v>
      </c>
      <c r="C15" s="72">
        <v>25</v>
      </c>
      <c r="D15" s="72">
        <v>39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36</v>
      </c>
      <c r="B16" s="237">
        <v>19.7</v>
      </c>
      <c r="C16" s="71">
        <v>25</v>
      </c>
      <c r="D16" s="72">
        <v>38</v>
      </c>
      <c r="E16" s="87"/>
      <c r="F16" s="12"/>
      <c r="G16" s="12"/>
      <c r="H16" s="74">
        <f t="shared" si="2"/>
        <v>50000</v>
      </c>
      <c r="I16" s="75">
        <f t="shared" si="3"/>
        <v>50000</v>
      </c>
    </row>
    <row r="17" spans="1:13" s="80" customFormat="1" ht="18" customHeight="1" x14ac:dyDescent="0.15">
      <c r="A17" s="362" t="s">
        <v>16</v>
      </c>
      <c r="B17" s="237">
        <v>19.899999999999999</v>
      </c>
      <c r="C17" s="72">
        <v>25</v>
      </c>
      <c r="D17" s="72">
        <v>36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J17" s="85"/>
      <c r="K17" s="85"/>
      <c r="L17" s="85"/>
      <c r="M17" s="86"/>
    </row>
    <row r="18" spans="1:13" s="80" customFormat="1" ht="18" customHeight="1" x14ac:dyDescent="0.15">
      <c r="A18" s="362" t="s">
        <v>158</v>
      </c>
      <c r="B18" s="237">
        <v>17.5</v>
      </c>
      <c r="C18" s="71">
        <v>20</v>
      </c>
      <c r="D18" s="91">
        <v>42</v>
      </c>
      <c r="E18" s="87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3" s="80" customFormat="1" ht="18" customHeight="1" x14ac:dyDescent="0.15">
      <c r="A19" s="362" t="s">
        <v>40</v>
      </c>
      <c r="B19" s="237">
        <v>22.4</v>
      </c>
      <c r="C19" s="71">
        <v>20</v>
      </c>
      <c r="D19" s="72">
        <v>40</v>
      </c>
      <c r="E19" s="73"/>
      <c r="F19" s="71"/>
      <c r="G19" s="71"/>
      <c r="H19" s="74">
        <f t="shared" si="2"/>
        <v>50000</v>
      </c>
      <c r="I19" s="75">
        <f t="shared" si="3"/>
        <v>50000</v>
      </c>
      <c r="J19" s="86"/>
      <c r="K19" s="86"/>
      <c r="L19" s="86"/>
      <c r="M19" s="86"/>
    </row>
    <row r="20" spans="1:13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</row>
    <row r="21" spans="1:13" s="56" customFormat="1" ht="18" customHeight="1" x14ac:dyDescent="0.15">
      <c r="A21" s="362"/>
      <c r="B21" s="237"/>
      <c r="C21" s="91"/>
      <c r="D21" s="91"/>
      <c r="E21" s="73"/>
      <c r="F21" s="12"/>
      <c r="G21" s="12"/>
      <c r="H21" s="74">
        <f t="shared" si="2"/>
        <v>0</v>
      </c>
      <c r="I21" s="75">
        <f t="shared" si="3"/>
        <v>0</v>
      </c>
    </row>
    <row r="22" spans="1:13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>IF(E23&gt;0,$N$13,0)+IF(C23&gt;0,50000,0)+IF(C23&lt;0,50000,0)</f>
        <v>0</v>
      </c>
    </row>
    <row r="24" spans="1:13" s="56" customFormat="1" ht="18" customHeight="1" x14ac:dyDescent="0.15">
      <c r="A24" s="362"/>
      <c r="B24" s="237"/>
      <c r="C24" s="72"/>
      <c r="D24" s="91"/>
      <c r="E24" s="87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1"/>
      <c r="D25" s="72"/>
      <c r="E25" s="87"/>
      <c r="F25" s="12"/>
      <c r="G25" s="12"/>
      <c r="H25" s="74">
        <f t="shared" si="2"/>
        <v>0</v>
      </c>
      <c r="I25" s="75"/>
    </row>
    <row r="26" spans="1:13" s="56" customFormat="1" ht="18" customHeight="1" x14ac:dyDescent="0.15">
      <c r="A26" s="362"/>
      <c r="B26" s="237"/>
      <c r="C26" s="72"/>
      <c r="D26" s="91"/>
      <c r="E26" s="87"/>
      <c r="F26" s="12"/>
      <c r="G26" s="12"/>
      <c r="H26" s="74">
        <f t="shared" si="2"/>
        <v>0</v>
      </c>
      <c r="I26" s="75">
        <f t="shared" si="3"/>
        <v>0</v>
      </c>
    </row>
    <row r="27" spans="1:13" s="56" customFormat="1" ht="18" customHeight="1" x14ac:dyDescent="0.15">
      <c r="A27" s="362"/>
      <c r="B27" s="237"/>
      <c r="C27" s="71"/>
      <c r="D27" s="91"/>
      <c r="E27" s="87"/>
      <c r="F27" s="71"/>
      <c r="G27" s="71"/>
      <c r="H27" s="74">
        <f t="shared" si="2"/>
        <v>0</v>
      </c>
      <c r="I27" s="75">
        <f t="shared" si="3"/>
        <v>0</v>
      </c>
    </row>
    <row r="28" spans="1:13" s="56" customFormat="1" ht="18" customHeight="1" x14ac:dyDescent="0.15">
      <c r="A28" s="362"/>
      <c r="B28" s="237"/>
      <c r="C28" s="71"/>
      <c r="D28" s="91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3" ht="24" customHeight="1" x14ac:dyDescent="0.15">
      <c r="A29" s="1"/>
      <c r="B29" s="3"/>
      <c r="C29" s="105"/>
      <c r="D29" s="106">
        <f>SUM(D4:D28)</f>
        <v>590</v>
      </c>
      <c r="E29" s="105"/>
      <c r="F29" s="3"/>
      <c r="G29" s="107">
        <f>SUM(G4:G28)</f>
        <v>39</v>
      </c>
      <c r="H29" s="107">
        <f>SUM(H4:H28)</f>
        <v>7160000</v>
      </c>
      <c r="I29" s="108"/>
    </row>
  </sheetData>
  <sheetProtection selectLockedCells="1" selectUnlockedCells="1"/>
  <sortState ref="A4:C19">
    <sortCondition descending="1" ref="C4:C19"/>
    <sortCondition ref="B4:B19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33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109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220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24</v>
      </c>
      <c r="B4" s="237">
        <v>13.6</v>
      </c>
      <c r="C4" s="72">
        <v>72</v>
      </c>
      <c r="D4" s="91">
        <v>31</v>
      </c>
      <c r="E4" s="73"/>
      <c r="F4" s="71">
        <v>1</v>
      </c>
      <c r="G4" s="71">
        <v>10</v>
      </c>
      <c r="H4" s="74">
        <f t="shared" ref="H4:H11" si="0">N4+I4</f>
        <v>1550000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26</v>
      </c>
      <c r="B5" s="237">
        <v>23.5</v>
      </c>
      <c r="C5" s="71">
        <v>73</v>
      </c>
      <c r="D5" s="72">
        <v>33</v>
      </c>
      <c r="E5" s="73"/>
      <c r="F5" s="71">
        <v>2</v>
      </c>
      <c r="G5" s="71">
        <v>8</v>
      </c>
      <c r="H5" s="74">
        <f t="shared" si="0"/>
        <v>1250000</v>
      </c>
      <c r="I5" s="75">
        <f t="shared" ref="I5:I11" si="1">IF(E5&gt;0,$N$13,0)+IF(C5&gt;0,50000,0)+IF(C13&lt;0,50000,0)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14</v>
      </c>
      <c r="B6" s="237">
        <v>11.6</v>
      </c>
      <c r="C6" s="91">
        <v>75</v>
      </c>
      <c r="D6" s="91">
        <v>29</v>
      </c>
      <c r="E6" s="73"/>
      <c r="F6" s="12">
        <v>3</v>
      </c>
      <c r="G6" s="12">
        <v>6</v>
      </c>
      <c r="H6" s="74">
        <f>N6+I6</f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42</v>
      </c>
      <c r="B7" s="237">
        <v>16.5</v>
      </c>
      <c r="C7" s="71">
        <v>75</v>
      </c>
      <c r="D7" s="91">
        <v>35</v>
      </c>
      <c r="E7" s="87">
        <v>2.84</v>
      </c>
      <c r="F7" s="71">
        <v>4</v>
      </c>
      <c r="G7" s="71">
        <v>5</v>
      </c>
      <c r="H7" s="74">
        <f t="shared" si="0"/>
        <v>1130000</v>
      </c>
      <c r="I7" s="75">
        <f t="shared" si="1"/>
        <v>410000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147</v>
      </c>
      <c r="B8" s="237">
        <v>10.4</v>
      </c>
      <c r="C8" s="71">
        <v>76</v>
      </c>
      <c r="D8" s="72">
        <v>29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10</v>
      </c>
      <c r="B9" s="237">
        <v>15.1</v>
      </c>
      <c r="C9" s="71">
        <v>76</v>
      </c>
      <c r="D9" s="91">
        <v>33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44</v>
      </c>
      <c r="B10" s="237">
        <v>15.6</v>
      </c>
      <c r="C10" s="71">
        <v>76</v>
      </c>
      <c r="D10" s="91">
        <v>33</v>
      </c>
      <c r="E10" s="87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158</v>
      </c>
      <c r="B11" s="237">
        <v>17.399999999999999</v>
      </c>
      <c r="C11" s="72">
        <v>76</v>
      </c>
      <c r="D11" s="72">
        <v>36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28</v>
      </c>
      <c r="B12" s="237">
        <v>11.7</v>
      </c>
      <c r="C12" s="72">
        <v>77</v>
      </c>
      <c r="D12" s="72">
        <v>29</v>
      </c>
      <c r="E12" s="73"/>
      <c r="F12" s="71"/>
      <c r="G12" s="71"/>
      <c r="H12" s="74">
        <f>I12</f>
        <v>50000</v>
      </c>
      <c r="I12" s="75">
        <f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30</v>
      </c>
      <c r="B13" s="237">
        <v>10.6</v>
      </c>
      <c r="C13" s="72">
        <v>78</v>
      </c>
      <c r="D13" s="72">
        <v>28</v>
      </c>
      <c r="E13" s="87"/>
      <c r="F13" s="71"/>
      <c r="G13" s="71"/>
      <c r="H13" s="74">
        <f t="shared" ref="H13:H28" si="2">I13</f>
        <v>50000</v>
      </c>
      <c r="I13" s="75">
        <f t="shared" ref="I13:I28" si="3">IF(E13&gt;0,$N$13,0)+IF(C13&gt;0,50000,0)+IF(C13&lt;0,50000,0)</f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38</v>
      </c>
      <c r="B14" s="237">
        <v>13.6</v>
      </c>
      <c r="C14" s="72">
        <v>78</v>
      </c>
      <c r="D14" s="72">
        <v>29</v>
      </c>
      <c r="E14" s="87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34</v>
      </c>
      <c r="B15" s="237">
        <v>16</v>
      </c>
      <c r="C15" s="12">
        <v>78</v>
      </c>
      <c r="D15" s="91">
        <v>38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36</v>
      </c>
      <c r="B16" s="237">
        <v>19.600000000000001</v>
      </c>
      <c r="C16" s="72">
        <v>80</v>
      </c>
      <c r="D16" s="72">
        <v>31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3" s="80" customFormat="1" ht="18" customHeight="1" x14ac:dyDescent="0.15">
      <c r="A17" s="362" t="s">
        <v>40</v>
      </c>
      <c r="B17" s="237">
        <v>22.3</v>
      </c>
      <c r="C17" s="71">
        <v>86</v>
      </c>
      <c r="D17" s="91">
        <v>38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J17" s="85"/>
      <c r="K17" s="85"/>
      <c r="L17" s="85"/>
      <c r="M17" s="86"/>
    </row>
    <row r="18" spans="1:13" s="80" customFormat="1" ht="18" customHeight="1" x14ac:dyDescent="0.15">
      <c r="A18" s="362"/>
      <c r="B18" s="237"/>
      <c r="C18" s="71"/>
      <c r="D18" s="72"/>
      <c r="E18" s="87"/>
      <c r="F18" s="71"/>
      <c r="G18" s="71"/>
      <c r="H18" s="74">
        <f t="shared" si="2"/>
        <v>0</v>
      </c>
      <c r="I18" s="75">
        <f t="shared" si="3"/>
        <v>0</v>
      </c>
      <c r="J18" s="86"/>
      <c r="K18" s="86"/>
      <c r="L18" s="86"/>
      <c r="M18" s="86"/>
    </row>
    <row r="19" spans="1:13" s="80" customFormat="1" ht="18" customHeight="1" x14ac:dyDescent="0.15">
      <c r="A19" s="362"/>
      <c r="B19" s="237"/>
      <c r="C19" s="71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3" s="56" customFormat="1" ht="18" customHeight="1" x14ac:dyDescent="0.15">
      <c r="A20" s="362"/>
      <c r="B20" s="237"/>
      <c r="C20" s="71"/>
      <c r="D20" s="72"/>
      <c r="E20" s="87"/>
      <c r="F20" s="12"/>
      <c r="G20" s="12"/>
      <c r="H20" s="74">
        <f t="shared" si="2"/>
        <v>0</v>
      </c>
      <c r="I20" s="75">
        <f t="shared" si="3"/>
        <v>0</v>
      </c>
    </row>
    <row r="21" spans="1:13" s="56" customFormat="1" ht="18" customHeight="1" x14ac:dyDescent="0.15">
      <c r="A21" s="362"/>
      <c r="B21" s="237"/>
      <c r="C21" s="71"/>
      <c r="D21" s="72"/>
      <c r="E21" s="87"/>
      <c r="F21" s="12"/>
      <c r="G21" s="12"/>
      <c r="H21" s="74">
        <f t="shared" si="2"/>
        <v>0</v>
      </c>
      <c r="I21" s="75">
        <f t="shared" si="3"/>
        <v>0</v>
      </c>
    </row>
    <row r="22" spans="1:13" s="56" customFormat="1" ht="18" customHeight="1" x14ac:dyDescent="0.15">
      <c r="A22" s="362"/>
      <c r="B22" s="237"/>
      <c r="C22" s="71"/>
      <c r="D22" s="72"/>
      <c r="E22" s="87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1"/>
      <c r="D23" s="72"/>
      <c r="E23" s="87"/>
      <c r="F23" s="12"/>
      <c r="G23" s="12"/>
      <c r="H23" s="74">
        <f>I23</f>
        <v>0</v>
      </c>
      <c r="I23" s="75"/>
    </row>
    <row r="24" spans="1:13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2"/>
      <c r="D25" s="72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3" s="56" customFormat="1" ht="18" customHeight="1" x14ac:dyDescent="0.15">
      <c r="A26" s="362"/>
      <c r="B26" s="237"/>
      <c r="C26" s="71"/>
      <c r="D26" s="72"/>
      <c r="E26" s="73"/>
      <c r="F26" s="12"/>
      <c r="G26" s="12"/>
      <c r="H26" s="74">
        <f t="shared" si="2"/>
        <v>0</v>
      </c>
      <c r="I26" s="75">
        <f t="shared" si="3"/>
        <v>0</v>
      </c>
    </row>
    <row r="27" spans="1:13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3" s="56" customFormat="1" ht="18" customHeight="1" x14ac:dyDescent="0.15">
      <c r="A28" s="362"/>
      <c r="B28" s="237"/>
      <c r="C28" s="12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</row>
    <row r="29" spans="1:13" ht="24" customHeight="1" x14ac:dyDescent="0.15">
      <c r="A29" s="1"/>
      <c r="B29" s="3"/>
      <c r="C29" s="105"/>
      <c r="D29" s="106">
        <f>SUM(D4:D28)</f>
        <v>452</v>
      </c>
      <c r="E29" s="105"/>
      <c r="F29" s="3"/>
      <c r="G29" s="107">
        <f>SUM(G4:G28)</f>
        <v>39</v>
      </c>
      <c r="H29" s="107">
        <f>SUM(H4:H28)</f>
        <v>7060000</v>
      </c>
      <c r="I29" s="108"/>
    </row>
  </sheetData>
  <sheetProtection selectLockedCells="1" selectUnlockedCells="1"/>
  <sortState ref="A4:D17">
    <sortCondition ref="C4:C17"/>
    <sortCondition ref="B4:B17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34">
    <pageSetUpPr fitToPage="1"/>
  </sheetPr>
  <dimension ref="A1:R28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110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217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12</v>
      </c>
      <c r="B4" s="237">
        <v>15.5</v>
      </c>
      <c r="C4" s="91">
        <v>35</v>
      </c>
      <c r="D4" s="72">
        <v>34</v>
      </c>
      <c r="E4" s="87"/>
      <c r="F4" s="71">
        <v>1</v>
      </c>
      <c r="G4" s="71">
        <v>10</v>
      </c>
      <c r="H4" s="74">
        <f t="shared" ref="H4:H11" si="0">N4+I4</f>
        <v>1550000</v>
      </c>
      <c r="I4" s="75">
        <f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147</v>
      </c>
      <c r="B5" s="237">
        <v>10.199999999999999</v>
      </c>
      <c r="C5" s="72">
        <v>33</v>
      </c>
      <c r="D5" s="72">
        <v>32</v>
      </c>
      <c r="E5" s="73">
        <v>4.95</v>
      </c>
      <c r="F5" s="71">
        <v>2</v>
      </c>
      <c r="G5" s="71">
        <v>8</v>
      </c>
      <c r="H5" s="74">
        <v>1350000</v>
      </c>
      <c r="I5" s="75">
        <f t="shared" ref="I5:I11" si="1">IF(E5&gt;0,$N$13,0)+IF(C5&gt;0,50000,0)+IF(C13&lt;0,50000,0)</f>
        <v>410000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30</v>
      </c>
      <c r="B6" s="237">
        <v>10.5</v>
      </c>
      <c r="C6" s="71">
        <v>31</v>
      </c>
      <c r="D6" s="72">
        <v>34</v>
      </c>
      <c r="E6" s="73">
        <v>3.52</v>
      </c>
      <c r="F6" s="12">
        <v>3</v>
      </c>
      <c r="G6" s="12">
        <v>6</v>
      </c>
      <c r="H6" s="74">
        <f t="shared" si="0"/>
        <v>1310000</v>
      </c>
      <c r="I6" s="75">
        <f t="shared" si="1"/>
        <v>410000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32</v>
      </c>
      <c r="B7" s="237">
        <v>13.2</v>
      </c>
      <c r="C7" s="72">
        <v>30</v>
      </c>
      <c r="D7" s="72">
        <v>40</v>
      </c>
      <c r="E7" s="73"/>
      <c r="F7" s="71">
        <v>4</v>
      </c>
      <c r="G7" s="71">
        <v>5</v>
      </c>
      <c r="H7" s="74">
        <v>870000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34</v>
      </c>
      <c r="B8" s="237">
        <v>15.9</v>
      </c>
      <c r="C8" s="72">
        <v>30</v>
      </c>
      <c r="D8" s="72">
        <v>32</v>
      </c>
      <c r="E8" s="73"/>
      <c r="F8" s="71">
        <v>5</v>
      </c>
      <c r="G8" s="71">
        <v>4</v>
      </c>
      <c r="H8" s="74">
        <v>750000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18</v>
      </c>
      <c r="B9" s="237">
        <v>15.5</v>
      </c>
      <c r="C9" s="71">
        <v>29</v>
      </c>
      <c r="D9" s="72">
        <v>32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48</v>
      </c>
      <c r="B10" s="237">
        <v>8.1999999999999993</v>
      </c>
      <c r="C10" s="71">
        <v>27</v>
      </c>
      <c r="D10" s="72">
        <v>33</v>
      </c>
      <c r="E10" s="73">
        <v>18</v>
      </c>
      <c r="F10" s="71">
        <v>7</v>
      </c>
      <c r="G10" s="71">
        <v>2</v>
      </c>
      <c r="H10" s="74">
        <v>510000</v>
      </c>
      <c r="I10" s="75">
        <f t="shared" si="1"/>
        <v>410000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42</v>
      </c>
      <c r="B11" s="237">
        <v>16.399999999999999</v>
      </c>
      <c r="C11" s="71">
        <v>25</v>
      </c>
      <c r="D11" s="72">
        <v>38</v>
      </c>
      <c r="E11" s="87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10</v>
      </c>
      <c r="B12" s="237">
        <v>14.9</v>
      </c>
      <c r="C12" s="71">
        <v>24</v>
      </c>
      <c r="D12" s="72">
        <v>36</v>
      </c>
      <c r="E12" s="73"/>
      <c r="F12" s="71"/>
      <c r="G12" s="71"/>
      <c r="H12" s="74">
        <f t="shared" ref="H12:H27" si="2">I12</f>
        <v>50000</v>
      </c>
      <c r="I12" s="75">
        <f>IF(E12&gt;0,$N$13,0)+IF(C12&gt;0,50000,0)+IF(C12&lt;0,50000,0)</f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40</v>
      </c>
      <c r="B13" s="237">
        <v>22.2</v>
      </c>
      <c r="C13" s="72">
        <v>24</v>
      </c>
      <c r="D13" s="72">
        <v>36</v>
      </c>
      <c r="E13" s="87"/>
      <c r="F13" s="71"/>
      <c r="G13" s="71"/>
      <c r="H13" s="74">
        <f t="shared" si="2"/>
        <v>50000</v>
      </c>
      <c r="I13" s="75">
        <f t="shared" ref="I13:I27" si="3">IF(E13&gt;0,$N$13,0)+IF(C13&gt;0,50000,0)+IF(C13&lt;0,50000,0)</f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52</v>
      </c>
      <c r="B14" s="237">
        <v>11.5</v>
      </c>
      <c r="C14" s="71">
        <v>23</v>
      </c>
      <c r="D14" s="91">
        <v>36</v>
      </c>
      <c r="E14" s="87">
        <v>8.75</v>
      </c>
      <c r="F14" s="71"/>
      <c r="G14" s="71"/>
      <c r="H14" s="74">
        <v>150000</v>
      </c>
      <c r="I14" s="75">
        <f t="shared" si="3"/>
        <v>410000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46</v>
      </c>
      <c r="B15" s="237">
        <v>22.5</v>
      </c>
      <c r="C15" s="71">
        <v>23</v>
      </c>
      <c r="D15" s="72">
        <v>38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28</v>
      </c>
      <c r="B16" s="237">
        <v>11.6</v>
      </c>
      <c r="C16" s="71">
        <v>22</v>
      </c>
      <c r="D16" s="91">
        <v>37</v>
      </c>
      <c r="E16" s="73"/>
      <c r="F16" s="12"/>
      <c r="G16" s="12"/>
      <c r="H16" s="74">
        <f t="shared" si="2"/>
        <v>50000</v>
      </c>
      <c r="I16" s="75">
        <f t="shared" si="3"/>
        <v>50000</v>
      </c>
    </row>
    <row r="17" spans="1:13" s="80" customFormat="1" ht="18" customHeight="1" x14ac:dyDescent="0.15">
      <c r="A17" s="362" t="s">
        <v>26</v>
      </c>
      <c r="B17" s="237">
        <v>23.4</v>
      </c>
      <c r="C17" s="71">
        <v>19</v>
      </c>
      <c r="D17" s="72">
        <v>44</v>
      </c>
      <c r="E17" s="73"/>
      <c r="F17" s="12"/>
      <c r="G17" s="12"/>
      <c r="H17" s="74">
        <f t="shared" si="2"/>
        <v>50000</v>
      </c>
      <c r="I17" s="75">
        <f t="shared" si="3"/>
        <v>50000</v>
      </c>
      <c r="J17" s="85"/>
      <c r="K17" s="85"/>
      <c r="L17" s="85"/>
      <c r="M17" s="86"/>
    </row>
    <row r="18" spans="1:13" s="80" customFormat="1" ht="18" customHeight="1" x14ac:dyDescent="0.15">
      <c r="A18" s="362" t="s">
        <v>158</v>
      </c>
      <c r="B18" s="237">
        <v>17.5</v>
      </c>
      <c r="C18" s="72" t="s">
        <v>215</v>
      </c>
      <c r="D18" s="72"/>
      <c r="E18" s="73"/>
      <c r="F18" s="71"/>
      <c r="G18" s="71"/>
      <c r="H18" s="74">
        <f t="shared" si="2"/>
        <v>50000</v>
      </c>
      <c r="I18" s="75">
        <f t="shared" si="3"/>
        <v>50000</v>
      </c>
      <c r="J18" s="86"/>
      <c r="K18" s="86"/>
      <c r="L18" s="86"/>
      <c r="M18" s="86"/>
    </row>
    <row r="19" spans="1:13" s="80" customFormat="1" ht="18" customHeight="1" x14ac:dyDescent="0.15">
      <c r="A19" s="362"/>
      <c r="B19" s="237"/>
      <c r="C19" s="71"/>
      <c r="D19" s="72"/>
      <c r="E19" s="73"/>
      <c r="F19" s="71"/>
      <c r="G19" s="71"/>
      <c r="H19" s="74">
        <f t="shared" si="2"/>
        <v>0</v>
      </c>
      <c r="I19" s="75">
        <f t="shared" si="3"/>
        <v>0</v>
      </c>
      <c r="J19" s="86"/>
      <c r="K19" s="86"/>
      <c r="L19" s="86"/>
      <c r="M19" s="86"/>
    </row>
    <row r="20" spans="1:13" s="56" customFormat="1" ht="18" customHeight="1" x14ac:dyDescent="0.15">
      <c r="A20" s="362"/>
      <c r="B20" s="237"/>
      <c r="C20" s="71"/>
      <c r="D20" s="91"/>
      <c r="E20" s="243"/>
      <c r="F20" s="12"/>
      <c r="G20" s="12"/>
      <c r="H20" s="74">
        <f t="shared" si="2"/>
        <v>0</v>
      </c>
      <c r="I20" s="75">
        <f t="shared" si="3"/>
        <v>0</v>
      </c>
    </row>
    <row r="21" spans="1:13" s="56" customFormat="1" ht="18" customHeight="1" x14ac:dyDescent="0.15">
      <c r="A21" s="362"/>
      <c r="B21" s="237"/>
      <c r="C21" s="71"/>
      <c r="D21" s="91"/>
      <c r="E21" s="87"/>
      <c r="F21" s="12"/>
      <c r="G21" s="12"/>
      <c r="H21" s="74">
        <f t="shared" si="2"/>
        <v>0</v>
      </c>
      <c r="I21" s="75">
        <f t="shared" si="3"/>
        <v>0</v>
      </c>
    </row>
    <row r="22" spans="1:13" s="56" customFormat="1" ht="18" customHeight="1" x14ac:dyDescent="0.15">
      <c r="A22" s="362"/>
      <c r="B22" s="237"/>
      <c r="C22" s="12"/>
      <c r="D22" s="91"/>
      <c r="E22" s="87"/>
      <c r="F22" s="12"/>
      <c r="G22" s="12"/>
      <c r="H22" s="74">
        <f t="shared" si="2"/>
        <v>0</v>
      </c>
      <c r="I22" s="75">
        <f t="shared" si="3"/>
        <v>0</v>
      </c>
    </row>
    <row r="23" spans="1:13" s="56" customFormat="1" ht="18" customHeight="1" x14ac:dyDescent="0.15">
      <c r="A23" s="362"/>
      <c r="B23" s="237"/>
      <c r="C23" s="71"/>
      <c r="D23" s="91"/>
      <c r="E23" s="73"/>
      <c r="F23" s="12"/>
      <c r="G23" s="12"/>
      <c r="H23" s="74">
        <f t="shared" si="2"/>
        <v>0</v>
      </c>
      <c r="I23" s="75">
        <f t="shared" si="3"/>
        <v>0</v>
      </c>
    </row>
    <row r="24" spans="1:13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3"/>
        <v>0</v>
      </c>
    </row>
    <row r="25" spans="1:13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 t="shared" si="2"/>
        <v>0</v>
      </c>
      <c r="I25" s="75">
        <f t="shared" si="3"/>
        <v>0</v>
      </c>
    </row>
    <row r="26" spans="1:13" s="56" customFormat="1" ht="18" customHeight="1" x14ac:dyDescent="0.15">
      <c r="A26" s="362"/>
      <c r="B26" s="237"/>
      <c r="C26" s="12"/>
      <c r="D26" s="72"/>
      <c r="E26" s="87"/>
      <c r="F26" s="71"/>
      <c r="G26" s="71"/>
      <c r="H26" s="74">
        <f t="shared" si="2"/>
        <v>0</v>
      </c>
      <c r="I26" s="75">
        <f t="shared" si="3"/>
        <v>0</v>
      </c>
    </row>
    <row r="27" spans="1:13" s="56" customFormat="1" ht="18" customHeight="1" x14ac:dyDescent="0.15">
      <c r="A27" s="362"/>
      <c r="B27" s="237"/>
      <c r="C27" s="71"/>
      <c r="D27" s="91"/>
      <c r="E27" s="73"/>
      <c r="F27" s="71"/>
      <c r="G27" s="71"/>
      <c r="H27" s="74">
        <f t="shared" si="2"/>
        <v>0</v>
      </c>
      <c r="I27" s="75">
        <f t="shared" si="3"/>
        <v>0</v>
      </c>
    </row>
    <row r="28" spans="1:13" ht="24" customHeight="1" x14ac:dyDescent="0.15">
      <c r="A28" s="1"/>
      <c r="B28" s="3"/>
      <c r="C28" s="105"/>
      <c r="D28" s="106">
        <f>SUM(D4:D27)</f>
        <v>502</v>
      </c>
      <c r="E28" s="105"/>
      <c r="F28" s="3"/>
      <c r="G28" s="107">
        <f>SUM(G4:G27)</f>
        <v>39</v>
      </c>
      <c r="H28" s="107">
        <f>SUM(H4:H27)</f>
        <v>7610000</v>
      </c>
      <c r="I28" s="108"/>
    </row>
  </sheetData>
  <sheetProtection selectLockedCells="1" selectUnlockedCells="1"/>
  <sortState ref="A4:C18">
    <sortCondition descending="1" ref="C4:C18"/>
    <sortCondition ref="B4:B1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35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111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216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48</v>
      </c>
      <c r="B4" s="237">
        <v>8.1999999999999993</v>
      </c>
      <c r="C4" s="71">
        <v>34</v>
      </c>
      <c r="D4" s="72">
        <v>25</v>
      </c>
      <c r="E4" s="73"/>
      <c r="F4" s="71">
        <v>1</v>
      </c>
      <c r="G4" s="71">
        <v>10</v>
      </c>
      <c r="H4" s="74">
        <f>N4+I4</f>
        <v>1550000</v>
      </c>
      <c r="I4" s="75">
        <f>IF(E4&gt;0,$N$13,0)+IF(C4&gt;0,50000,0)+IF(C4&lt;0,50000,0)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30</v>
      </c>
      <c r="B5" s="237">
        <v>10.4</v>
      </c>
      <c r="C5" s="72">
        <v>31</v>
      </c>
      <c r="D5" s="91">
        <v>33</v>
      </c>
      <c r="E5" s="12"/>
      <c r="F5" s="71">
        <v>2</v>
      </c>
      <c r="G5" s="71">
        <v>8</v>
      </c>
      <c r="H5" s="74">
        <f>N5+I5</f>
        <v>1250000</v>
      </c>
      <c r="I5" s="75">
        <f t="shared" ref="I5:I28" si="0">IF(E5&gt;0,$N$13,0)+IF(C5&gt;0,50000,0)+IF(C5&lt;0,50000,0)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46</v>
      </c>
      <c r="B6" s="237">
        <v>22.5</v>
      </c>
      <c r="C6" s="91">
        <v>31</v>
      </c>
      <c r="D6" s="91">
        <v>32</v>
      </c>
      <c r="E6" s="12"/>
      <c r="F6" s="12">
        <v>3</v>
      </c>
      <c r="G6" s="12">
        <v>6</v>
      </c>
      <c r="H6" s="74">
        <f t="shared" ref="H6:H11" si="1">N6+I6</f>
        <v>950000</v>
      </c>
      <c r="I6" s="75">
        <f t="shared" si="0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28</v>
      </c>
      <c r="B7" s="237">
        <v>11.5</v>
      </c>
      <c r="C7" s="71">
        <v>30</v>
      </c>
      <c r="D7" s="72">
        <v>30</v>
      </c>
      <c r="E7" s="73"/>
      <c r="F7" s="71">
        <v>4</v>
      </c>
      <c r="G7" s="71">
        <v>5</v>
      </c>
      <c r="H7" s="74">
        <f t="shared" si="1"/>
        <v>770000</v>
      </c>
      <c r="I7" s="75">
        <f t="shared" si="0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10</v>
      </c>
      <c r="B8" s="237">
        <v>14.7</v>
      </c>
      <c r="C8" s="71">
        <v>30</v>
      </c>
      <c r="D8" s="72">
        <v>33</v>
      </c>
      <c r="E8" s="73"/>
      <c r="F8" s="71">
        <v>5</v>
      </c>
      <c r="G8" s="71">
        <v>4</v>
      </c>
      <c r="H8" s="74">
        <f t="shared" si="1"/>
        <v>650000</v>
      </c>
      <c r="I8" s="75">
        <f t="shared" si="0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34</v>
      </c>
      <c r="B9" s="237">
        <v>15.8</v>
      </c>
      <c r="C9" s="72">
        <v>30</v>
      </c>
      <c r="D9" s="91">
        <v>38</v>
      </c>
      <c r="E9" s="12"/>
      <c r="F9" s="88">
        <v>6</v>
      </c>
      <c r="G9" s="88">
        <v>3</v>
      </c>
      <c r="H9" s="74">
        <f t="shared" si="1"/>
        <v>530000</v>
      </c>
      <c r="I9" s="75">
        <f t="shared" si="0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147</v>
      </c>
      <c r="B10" s="237">
        <v>9.9</v>
      </c>
      <c r="C10" s="71">
        <v>28</v>
      </c>
      <c r="D10" s="72">
        <v>36</v>
      </c>
      <c r="E10" s="73"/>
      <c r="F10" s="71">
        <v>7</v>
      </c>
      <c r="G10" s="71">
        <v>2</v>
      </c>
      <c r="H10" s="74">
        <f t="shared" si="1"/>
        <v>410000</v>
      </c>
      <c r="I10" s="75">
        <f t="shared" si="0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38</v>
      </c>
      <c r="B11" s="237">
        <v>13.9</v>
      </c>
      <c r="C11" s="72">
        <v>28</v>
      </c>
      <c r="D11" s="72">
        <v>35</v>
      </c>
      <c r="E11" s="73"/>
      <c r="F11" s="71">
        <v>8</v>
      </c>
      <c r="G11" s="71">
        <v>1</v>
      </c>
      <c r="H11" s="74">
        <f t="shared" si="1"/>
        <v>290000</v>
      </c>
      <c r="I11" s="75">
        <f t="shared" si="0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12</v>
      </c>
      <c r="B12" s="237">
        <v>15.4</v>
      </c>
      <c r="C12" s="12">
        <v>28</v>
      </c>
      <c r="D12" s="72">
        <v>35</v>
      </c>
      <c r="E12" s="73"/>
      <c r="F12" s="71"/>
      <c r="G12" s="71"/>
      <c r="H12" s="74">
        <f>I12</f>
        <v>50000</v>
      </c>
      <c r="I12" s="75">
        <f t="shared" si="0"/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40</v>
      </c>
      <c r="B13" s="237">
        <v>22.5</v>
      </c>
      <c r="C13" s="71">
        <v>27</v>
      </c>
      <c r="D13" s="72">
        <v>34</v>
      </c>
      <c r="E13" s="73"/>
      <c r="F13" s="71"/>
      <c r="G13" s="71"/>
      <c r="H13" s="74">
        <f t="shared" ref="H13:H28" si="2">I13</f>
        <v>50000</v>
      </c>
      <c r="I13" s="75">
        <f t="shared" si="0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14</v>
      </c>
      <c r="B14" s="237">
        <v>11.5</v>
      </c>
      <c r="C14" s="71">
        <v>26</v>
      </c>
      <c r="D14" s="91">
        <v>37</v>
      </c>
      <c r="E14" s="12"/>
      <c r="F14" s="71"/>
      <c r="G14" s="71"/>
      <c r="H14" s="74">
        <f t="shared" si="2"/>
        <v>50000</v>
      </c>
      <c r="I14" s="75">
        <f t="shared" si="0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42</v>
      </c>
      <c r="B15" s="237">
        <v>16.2</v>
      </c>
      <c r="C15" s="71">
        <v>26</v>
      </c>
      <c r="D15" s="72">
        <v>37</v>
      </c>
      <c r="E15" s="73"/>
      <c r="F15" s="71"/>
      <c r="G15" s="71"/>
      <c r="H15" s="74">
        <f t="shared" si="2"/>
        <v>50000</v>
      </c>
      <c r="I15" s="75">
        <f t="shared" si="0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44</v>
      </c>
      <c r="B16" s="237">
        <v>15.5</v>
      </c>
      <c r="C16" s="72">
        <v>24</v>
      </c>
      <c r="D16" s="91">
        <v>35</v>
      </c>
      <c r="E16" s="73"/>
      <c r="F16" s="12"/>
      <c r="G16" s="12"/>
      <c r="H16" s="74">
        <f t="shared" si="2"/>
        <v>50000</v>
      </c>
      <c r="I16" s="75">
        <f t="shared" si="0"/>
        <v>50000</v>
      </c>
    </row>
    <row r="17" spans="1:18" s="80" customFormat="1" ht="18" customHeight="1" x14ac:dyDescent="0.15">
      <c r="A17" s="362" t="s">
        <v>26</v>
      </c>
      <c r="B17" s="237">
        <v>23.3</v>
      </c>
      <c r="C17" s="71">
        <v>24</v>
      </c>
      <c r="D17" s="72">
        <v>39</v>
      </c>
      <c r="E17" s="12"/>
      <c r="F17" s="12"/>
      <c r="G17" s="12"/>
      <c r="H17" s="74">
        <f t="shared" si="2"/>
        <v>50000</v>
      </c>
      <c r="I17" s="75">
        <f t="shared" si="0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18</v>
      </c>
      <c r="B18" s="237">
        <v>15.4</v>
      </c>
      <c r="C18" s="72">
        <v>23</v>
      </c>
      <c r="D18" s="72">
        <v>40</v>
      </c>
      <c r="E18" s="73">
        <v>6.03</v>
      </c>
      <c r="F18" s="71"/>
      <c r="G18" s="71"/>
      <c r="H18" s="74">
        <f t="shared" si="2"/>
        <v>410000</v>
      </c>
      <c r="I18" s="75">
        <f t="shared" si="0"/>
        <v>410000</v>
      </c>
      <c r="J18" s="86"/>
      <c r="K18" s="86"/>
      <c r="L18" s="86"/>
      <c r="M18" s="86"/>
    </row>
    <row r="19" spans="1:18" s="80" customFormat="1" ht="18" customHeight="1" x14ac:dyDescent="0.15">
      <c r="A19" s="362" t="s">
        <v>16</v>
      </c>
      <c r="B19" s="237">
        <v>19.8</v>
      </c>
      <c r="C19" s="71">
        <v>23</v>
      </c>
      <c r="D19" s="72">
        <v>40</v>
      </c>
      <c r="E19" s="91"/>
      <c r="F19" s="71"/>
      <c r="G19" s="71"/>
      <c r="H19" s="74">
        <f t="shared" si="2"/>
        <v>50000</v>
      </c>
      <c r="I19" s="75">
        <f t="shared" si="0"/>
        <v>50000</v>
      </c>
      <c r="J19" s="86"/>
      <c r="K19" s="86"/>
      <c r="L19" s="86"/>
      <c r="M19" s="86"/>
    </row>
    <row r="20" spans="1:18" s="56" customFormat="1" ht="18" customHeight="1" x14ac:dyDescent="0.15">
      <c r="A20" s="362" t="s">
        <v>50</v>
      </c>
      <c r="B20" s="237">
        <v>24.9</v>
      </c>
      <c r="C20" s="72">
        <v>21</v>
      </c>
      <c r="D20" s="72">
        <v>40</v>
      </c>
      <c r="E20" s="73"/>
      <c r="F20" s="12"/>
      <c r="G20" s="12"/>
      <c r="H20" s="74">
        <f t="shared" si="2"/>
        <v>50000</v>
      </c>
      <c r="I20" s="75">
        <f t="shared" si="0"/>
        <v>50000</v>
      </c>
    </row>
    <row r="21" spans="1:18" s="56" customFormat="1" ht="18" customHeight="1" x14ac:dyDescent="0.15">
      <c r="A21" s="362" t="s">
        <v>158</v>
      </c>
      <c r="B21" s="237">
        <v>17.399999999999999</v>
      </c>
      <c r="C21" s="72" t="s">
        <v>215</v>
      </c>
      <c r="D21" s="72"/>
      <c r="E21" s="73"/>
      <c r="F21" s="12"/>
      <c r="G21" s="12"/>
      <c r="H21" s="74">
        <f t="shared" si="2"/>
        <v>50000</v>
      </c>
      <c r="I21" s="75">
        <f t="shared" si="0"/>
        <v>50000</v>
      </c>
    </row>
    <row r="22" spans="1:18" s="56" customFormat="1" ht="18" customHeight="1" x14ac:dyDescent="0.15">
      <c r="A22" s="362"/>
      <c r="B22" s="237"/>
      <c r="C22" s="71"/>
      <c r="D22" s="91"/>
      <c r="E22" s="12"/>
      <c r="F22" s="12"/>
      <c r="G22" s="12"/>
      <c r="H22" s="74">
        <f t="shared" si="2"/>
        <v>0</v>
      </c>
      <c r="I22" s="75">
        <f t="shared" si="0"/>
        <v>0</v>
      </c>
    </row>
    <row r="23" spans="1:18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0"/>
        <v>0</v>
      </c>
    </row>
    <row r="24" spans="1:18" s="56" customFormat="1" ht="18" customHeight="1" x14ac:dyDescent="0.15">
      <c r="A24" s="362"/>
      <c r="B24" s="237"/>
      <c r="C24" s="71"/>
      <c r="D24" s="91"/>
      <c r="E24" s="12"/>
      <c r="F24" s="12"/>
      <c r="G24" s="12"/>
      <c r="H24" s="74">
        <f t="shared" si="2"/>
        <v>0</v>
      </c>
      <c r="I24" s="75">
        <f t="shared" si="0"/>
        <v>0</v>
      </c>
    </row>
    <row r="25" spans="1:18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 t="shared" si="2"/>
        <v>0</v>
      </c>
      <c r="I25" s="75">
        <f t="shared" si="0"/>
        <v>0</v>
      </c>
    </row>
    <row r="26" spans="1:18" s="56" customFormat="1" ht="18" customHeight="1" x14ac:dyDescent="0.15">
      <c r="A26" s="362"/>
      <c r="B26" s="237"/>
      <c r="C26" s="72"/>
      <c r="D26" s="72"/>
      <c r="E26" s="73"/>
      <c r="F26" s="12"/>
      <c r="G26" s="12"/>
      <c r="H26" s="74">
        <f>I26</f>
        <v>0</v>
      </c>
      <c r="I26" s="75">
        <f t="shared" si="0"/>
        <v>0</v>
      </c>
    </row>
    <row r="27" spans="1:18" s="56" customFormat="1" ht="18" customHeight="1" x14ac:dyDescent="0.15">
      <c r="A27" s="149"/>
      <c r="B27" s="237"/>
      <c r="C27" s="71"/>
      <c r="D27" s="91"/>
      <c r="E27" s="12"/>
      <c r="F27" s="71"/>
      <c r="G27" s="71"/>
      <c r="H27" s="74">
        <f t="shared" si="2"/>
        <v>0</v>
      </c>
      <c r="I27" s="75">
        <f t="shared" si="0"/>
        <v>0</v>
      </c>
    </row>
    <row r="28" spans="1:18" s="56" customFormat="1" ht="18" customHeight="1" x14ac:dyDescent="0.15">
      <c r="A28" s="149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0"/>
        <v>0</v>
      </c>
    </row>
    <row r="29" spans="1:18" ht="24" customHeight="1" x14ac:dyDescent="0.15">
      <c r="A29" s="1"/>
      <c r="B29" s="3"/>
      <c r="C29" s="105"/>
      <c r="D29" s="106">
        <f>SUM(D4:D28)</f>
        <v>599</v>
      </c>
      <c r="E29" s="105"/>
      <c r="F29" s="3"/>
      <c r="G29" s="107">
        <f>SUM(G4:G28)</f>
        <v>39</v>
      </c>
      <c r="H29" s="107">
        <f>SUM(H4:H28)</f>
        <v>7260000</v>
      </c>
      <c r="I29" s="108"/>
    </row>
  </sheetData>
  <sheetProtection selectLockedCells="1" selectUnlockedCells="1"/>
  <sortState ref="A4:D20">
    <sortCondition descending="1" ref="C4:C20"/>
    <sortCondition ref="B4:B20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6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">
        <v>112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214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32</v>
      </c>
      <c r="B4" s="237">
        <v>13.8</v>
      </c>
      <c r="C4" s="71">
        <v>38</v>
      </c>
      <c r="D4" s="72">
        <v>32</v>
      </c>
      <c r="E4" s="91"/>
      <c r="F4" s="71">
        <v>1</v>
      </c>
      <c r="G4" s="71">
        <v>10</v>
      </c>
      <c r="H4" s="74">
        <f>N4+I4</f>
        <v>1550000</v>
      </c>
      <c r="I4" s="75">
        <f>IF(E4&gt;0,$N$13,0)+IF(C4&gt;0,50000,0)+IF(C4&lt;0,50000,0)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</row>
    <row r="5" spans="1:18" s="80" customFormat="1" ht="18" customHeight="1" x14ac:dyDescent="0.15">
      <c r="A5" s="362" t="s">
        <v>46</v>
      </c>
      <c r="B5" s="237">
        <v>23.2</v>
      </c>
      <c r="C5" s="12">
        <v>38</v>
      </c>
      <c r="D5" s="91">
        <v>36</v>
      </c>
      <c r="E5" s="73"/>
      <c r="F5" s="71">
        <v>2</v>
      </c>
      <c r="G5" s="71">
        <v>8</v>
      </c>
      <c r="H5" s="74">
        <f t="shared" ref="H5:H11" si="0">N5+I5</f>
        <v>1250000</v>
      </c>
      <c r="I5" s="75">
        <f t="shared" ref="I5:I28" si="1">IF(E5&gt;0,$N$13,0)+IF(C5&gt;0,50000,0)+IF(C5&lt;0,50000,0)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</row>
    <row r="6" spans="1:18" s="80" customFormat="1" ht="18" customHeight="1" x14ac:dyDescent="0.15">
      <c r="A6" s="362" t="s">
        <v>8</v>
      </c>
      <c r="B6" s="237">
        <v>21.1</v>
      </c>
      <c r="C6" s="72">
        <v>35</v>
      </c>
      <c r="D6" s="72">
        <v>37</v>
      </c>
      <c r="E6" s="12"/>
      <c r="F6" s="12">
        <v>3</v>
      </c>
      <c r="G6" s="12">
        <v>6</v>
      </c>
      <c r="H6" s="74">
        <f t="shared" si="0"/>
        <v>950000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</row>
    <row r="7" spans="1:18" s="80" customFormat="1" ht="18" customHeight="1" x14ac:dyDescent="0.15">
      <c r="A7" s="362" t="s">
        <v>40</v>
      </c>
      <c r="B7" s="237">
        <v>22.1</v>
      </c>
      <c r="C7" s="72">
        <v>35</v>
      </c>
      <c r="D7" s="72">
        <v>36</v>
      </c>
      <c r="E7" s="73"/>
      <c r="F7" s="71">
        <v>4</v>
      </c>
      <c r="G7" s="71">
        <v>5</v>
      </c>
      <c r="H7" s="74">
        <f t="shared" si="0"/>
        <v>770000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85"/>
      <c r="Q7" s="85"/>
      <c r="R7" s="86"/>
    </row>
    <row r="8" spans="1:18" s="80" customFormat="1" ht="18" customHeight="1" x14ac:dyDescent="0.15">
      <c r="A8" s="362" t="s">
        <v>14</v>
      </c>
      <c r="B8" s="237">
        <v>11.4</v>
      </c>
      <c r="C8" s="12">
        <v>33</v>
      </c>
      <c r="D8" s="72">
        <v>29</v>
      </c>
      <c r="E8" s="73">
        <v>2.42</v>
      </c>
      <c r="F8" s="71">
        <v>5</v>
      </c>
      <c r="G8" s="71">
        <v>4</v>
      </c>
      <c r="H8" s="74">
        <f t="shared" si="0"/>
        <v>1010000</v>
      </c>
      <c r="I8" s="75">
        <f t="shared" si="1"/>
        <v>410000</v>
      </c>
      <c r="J8" s="81" t="s">
        <v>90</v>
      </c>
      <c r="K8" s="82"/>
      <c r="L8" s="83"/>
      <c r="M8" s="84">
        <v>4</v>
      </c>
      <c r="N8" s="74">
        <f>N12*10%</f>
        <v>600000</v>
      </c>
    </row>
    <row r="9" spans="1:18" s="80" customFormat="1" ht="18" customHeight="1" x14ac:dyDescent="0.15">
      <c r="A9" s="362" t="s">
        <v>26</v>
      </c>
      <c r="B9" s="237">
        <v>23.2</v>
      </c>
      <c r="C9" s="71">
        <v>33</v>
      </c>
      <c r="D9" s="91">
        <v>33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</row>
    <row r="10" spans="1:18" s="80" customFormat="1" ht="18" customHeight="1" x14ac:dyDescent="0.15">
      <c r="A10" s="362" t="s">
        <v>18</v>
      </c>
      <c r="B10" s="237">
        <v>15.3</v>
      </c>
      <c r="C10" s="71">
        <v>32</v>
      </c>
      <c r="D10" s="72">
        <v>32</v>
      </c>
      <c r="E10" s="12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</row>
    <row r="11" spans="1:18" s="80" customFormat="1" ht="18" customHeight="1" x14ac:dyDescent="0.15">
      <c r="A11" s="362" t="s">
        <v>12</v>
      </c>
      <c r="B11" s="237">
        <v>15.3</v>
      </c>
      <c r="C11" s="71">
        <v>31</v>
      </c>
      <c r="D11" s="72">
        <v>36</v>
      </c>
      <c r="E11" s="73"/>
      <c r="F11" s="71">
        <v>8</v>
      </c>
      <c r="G11" s="71">
        <v>1</v>
      </c>
      <c r="H11" s="74">
        <f t="shared" si="0"/>
        <v>290000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240000</v>
      </c>
    </row>
    <row r="12" spans="1:18" s="80" customFormat="1" ht="18" customHeight="1" x14ac:dyDescent="0.15">
      <c r="A12" s="362" t="s">
        <v>34</v>
      </c>
      <c r="B12" s="237">
        <v>15.7</v>
      </c>
      <c r="C12" s="71">
        <v>31</v>
      </c>
      <c r="D12" s="91">
        <v>32</v>
      </c>
      <c r="E12" s="73"/>
      <c r="F12" s="71"/>
      <c r="G12" s="71"/>
      <c r="H12" s="74">
        <f>I12</f>
        <v>50000</v>
      </c>
      <c r="I12" s="75">
        <f t="shared" si="1"/>
        <v>50000</v>
      </c>
      <c r="J12" s="89" t="s">
        <v>94</v>
      </c>
      <c r="K12" s="82"/>
      <c r="L12" s="83"/>
      <c r="M12" s="84"/>
      <c r="N12" s="90">
        <v>6000000</v>
      </c>
    </row>
    <row r="13" spans="1:18" s="80" customFormat="1" ht="18" customHeight="1" x14ac:dyDescent="0.15">
      <c r="A13" s="362" t="s">
        <v>24</v>
      </c>
      <c r="B13" s="237">
        <v>13.4</v>
      </c>
      <c r="C13" s="71">
        <v>30</v>
      </c>
      <c r="D13" s="72">
        <v>30</v>
      </c>
      <c r="E13" s="73"/>
      <c r="F13" s="71"/>
      <c r="G13" s="71"/>
      <c r="H13" s="74">
        <f t="shared" ref="H13:H28" si="2">I13</f>
        <v>50000</v>
      </c>
      <c r="I13" s="75">
        <f t="shared" si="1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</row>
    <row r="14" spans="1:18" s="80" customFormat="1" ht="18" customHeight="1" x14ac:dyDescent="0.15">
      <c r="A14" s="362" t="s">
        <v>28</v>
      </c>
      <c r="B14" s="237">
        <v>11.4</v>
      </c>
      <c r="C14" s="71">
        <v>29</v>
      </c>
      <c r="D14" s="72">
        <v>31</v>
      </c>
      <c r="E14" s="73"/>
      <c r="F14" s="71"/>
      <c r="G14" s="71"/>
      <c r="H14" s="74">
        <f t="shared" si="2"/>
        <v>50000</v>
      </c>
      <c r="I14" s="75">
        <f t="shared" si="1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42</v>
      </c>
      <c r="B15" s="237">
        <v>16.100000000000001</v>
      </c>
      <c r="C15" s="71">
        <v>29</v>
      </c>
      <c r="D15" s="91">
        <v>37</v>
      </c>
      <c r="E15" s="73"/>
      <c r="F15" s="71"/>
      <c r="G15" s="71"/>
      <c r="H15" s="74">
        <f t="shared" si="2"/>
        <v>50000</v>
      </c>
      <c r="I15" s="75">
        <f t="shared" si="1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52</v>
      </c>
      <c r="B16" s="237">
        <v>11.4</v>
      </c>
      <c r="C16" s="71">
        <v>28</v>
      </c>
      <c r="D16" s="72">
        <v>33</v>
      </c>
      <c r="E16" s="73"/>
      <c r="F16" s="12"/>
      <c r="G16" s="12"/>
      <c r="H16" s="74">
        <f t="shared" si="2"/>
        <v>50000</v>
      </c>
      <c r="I16" s="75">
        <f t="shared" si="1"/>
        <v>50000</v>
      </c>
    </row>
    <row r="17" spans="1:18" s="80" customFormat="1" ht="18" customHeight="1" x14ac:dyDescent="0.15">
      <c r="A17" s="362" t="s">
        <v>10</v>
      </c>
      <c r="B17" s="237">
        <v>14.5</v>
      </c>
      <c r="C17" s="72">
        <v>27</v>
      </c>
      <c r="D17" s="72">
        <v>36</v>
      </c>
      <c r="E17" s="12"/>
      <c r="F17" s="12"/>
      <c r="G17" s="12"/>
      <c r="H17" s="74">
        <f t="shared" si="2"/>
        <v>50000</v>
      </c>
      <c r="I17" s="75">
        <f t="shared" si="1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44</v>
      </c>
      <c r="B18" s="237">
        <v>15.4</v>
      </c>
      <c r="C18" s="71">
        <v>27</v>
      </c>
      <c r="D18" s="72">
        <v>33</v>
      </c>
      <c r="E18" s="73"/>
      <c r="F18" s="71"/>
      <c r="G18" s="71"/>
      <c r="H18" s="74">
        <f t="shared" si="2"/>
        <v>50000</v>
      </c>
      <c r="I18" s="75">
        <f t="shared" si="1"/>
        <v>50000</v>
      </c>
      <c r="J18" s="86"/>
      <c r="K18" s="86"/>
      <c r="L18" s="86"/>
      <c r="M18" s="86"/>
    </row>
    <row r="19" spans="1:18" s="80" customFormat="1" ht="18" customHeight="1" x14ac:dyDescent="0.15">
      <c r="A19" s="362" t="s">
        <v>48</v>
      </c>
      <c r="B19" s="237">
        <v>8</v>
      </c>
      <c r="C19" s="72">
        <v>26</v>
      </c>
      <c r="D19" s="91">
        <v>34</v>
      </c>
      <c r="E19" s="12"/>
      <c r="F19" s="71"/>
      <c r="G19" s="71"/>
      <c r="H19" s="74">
        <f t="shared" si="2"/>
        <v>50000</v>
      </c>
      <c r="I19" s="75">
        <f t="shared" si="1"/>
        <v>50000</v>
      </c>
      <c r="J19" s="86"/>
      <c r="K19" s="86"/>
      <c r="L19" s="86"/>
      <c r="M19" s="86"/>
    </row>
    <row r="20" spans="1:18" s="56" customFormat="1" ht="18" customHeight="1" x14ac:dyDescent="0.15">
      <c r="A20" s="362" t="s">
        <v>30</v>
      </c>
      <c r="B20" s="237">
        <v>10.3</v>
      </c>
      <c r="C20" s="71">
        <v>26</v>
      </c>
      <c r="D20" s="72">
        <v>32</v>
      </c>
      <c r="E20" s="73"/>
      <c r="F20" s="12"/>
      <c r="G20" s="12"/>
      <c r="H20" s="74">
        <f t="shared" si="2"/>
        <v>50000</v>
      </c>
      <c r="I20" s="75">
        <f t="shared" si="1"/>
        <v>50000</v>
      </c>
    </row>
    <row r="21" spans="1:18" s="56" customFormat="1" ht="18" customHeight="1" x14ac:dyDescent="0.15">
      <c r="A21" s="362" t="s">
        <v>38</v>
      </c>
      <c r="B21" s="237">
        <v>13.7</v>
      </c>
      <c r="C21" s="72">
        <v>25</v>
      </c>
      <c r="D21" s="91">
        <v>36</v>
      </c>
      <c r="E21" s="12"/>
      <c r="F21" s="12"/>
      <c r="G21" s="12"/>
      <c r="H21" s="74">
        <f t="shared" si="2"/>
        <v>50000</v>
      </c>
      <c r="I21" s="75">
        <f t="shared" si="1"/>
        <v>50000</v>
      </c>
    </row>
    <row r="22" spans="1:18" s="56" customFormat="1" ht="18" customHeight="1" x14ac:dyDescent="0.15">
      <c r="A22" s="362" t="s">
        <v>22</v>
      </c>
      <c r="B22" s="237">
        <v>12.7</v>
      </c>
      <c r="C22" s="91">
        <v>24</v>
      </c>
      <c r="D22" s="72">
        <v>33</v>
      </c>
      <c r="E22" s="12"/>
      <c r="F22" s="12"/>
      <c r="G22" s="12"/>
      <c r="H22" s="74">
        <f t="shared" si="2"/>
        <v>50000</v>
      </c>
      <c r="I22" s="75">
        <f t="shared" si="1"/>
        <v>50000</v>
      </c>
    </row>
    <row r="23" spans="1:18" s="56" customFormat="1" ht="18" customHeight="1" x14ac:dyDescent="0.15">
      <c r="A23" s="362" t="s">
        <v>16</v>
      </c>
      <c r="B23" s="237">
        <v>19.7</v>
      </c>
      <c r="C23" s="72">
        <v>23</v>
      </c>
      <c r="D23" s="72">
        <v>41</v>
      </c>
      <c r="E23" s="12"/>
      <c r="F23" s="12"/>
      <c r="G23" s="12"/>
      <c r="H23" s="74">
        <f t="shared" si="2"/>
        <v>50000</v>
      </c>
      <c r="I23" s="75">
        <f t="shared" si="1"/>
        <v>50000</v>
      </c>
    </row>
    <row r="24" spans="1:18" s="56" customFormat="1" ht="18" customHeight="1" x14ac:dyDescent="0.15">
      <c r="A24" s="362" t="s">
        <v>36</v>
      </c>
      <c r="B24" s="237">
        <v>19.5</v>
      </c>
      <c r="C24" s="71">
        <v>20</v>
      </c>
      <c r="D24" s="72" t="s">
        <v>99</v>
      </c>
      <c r="E24" s="73"/>
      <c r="F24" s="12"/>
      <c r="G24" s="12"/>
      <c r="H24" s="74">
        <f t="shared" si="2"/>
        <v>50000</v>
      </c>
      <c r="I24" s="75">
        <f t="shared" si="1"/>
        <v>50000</v>
      </c>
    </row>
    <row r="25" spans="1:18" s="56" customFormat="1" ht="18" customHeight="1" x14ac:dyDescent="0.15">
      <c r="A25" s="362"/>
      <c r="B25" s="237"/>
      <c r="C25" s="72"/>
      <c r="D25" s="91"/>
      <c r="E25" s="73"/>
      <c r="F25" s="12"/>
      <c r="G25" s="12"/>
      <c r="H25" s="74">
        <f t="shared" si="2"/>
        <v>0</v>
      </c>
      <c r="I25" s="75">
        <f t="shared" si="1"/>
        <v>0</v>
      </c>
    </row>
    <row r="26" spans="1:18" s="56" customFormat="1" ht="18" customHeight="1" x14ac:dyDescent="0.15">
      <c r="A26" s="362"/>
      <c r="B26" s="237"/>
      <c r="C26" s="71"/>
      <c r="D26" s="91"/>
      <c r="E26" s="73"/>
      <c r="F26" s="12"/>
      <c r="G26" s="12"/>
      <c r="H26" s="74">
        <f t="shared" si="2"/>
        <v>0</v>
      </c>
      <c r="I26" s="75">
        <f t="shared" si="1"/>
        <v>0</v>
      </c>
    </row>
    <row r="27" spans="1:18" s="56" customFormat="1" ht="18" customHeight="1" x14ac:dyDescent="0.15">
      <c r="A27" s="362"/>
      <c r="B27" s="237"/>
      <c r="C27" s="71"/>
      <c r="D27" s="91"/>
      <c r="E27" s="12"/>
      <c r="F27" s="71"/>
      <c r="G27" s="71"/>
      <c r="H27" s="74">
        <f t="shared" si="2"/>
        <v>0</v>
      </c>
      <c r="I27" s="75">
        <f t="shared" si="1"/>
        <v>0</v>
      </c>
    </row>
    <row r="28" spans="1:18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1"/>
        <v>0</v>
      </c>
    </row>
    <row r="29" spans="1:18" ht="24" customHeight="1" x14ac:dyDescent="0.15">
      <c r="A29" s="1"/>
      <c r="B29" s="3"/>
      <c r="C29" s="105"/>
      <c r="D29" s="3">
        <f>SUM(D4:D28)</f>
        <v>679</v>
      </c>
      <c r="E29" s="105"/>
      <c r="F29" s="3"/>
      <c r="G29" s="107">
        <f>SUM(G4:G28)</f>
        <v>39</v>
      </c>
      <c r="H29" s="107">
        <f>SUM(H4:H28)</f>
        <v>7410000</v>
      </c>
      <c r="I29" s="108"/>
    </row>
  </sheetData>
  <sheetProtection selectLockedCells="1" selectUnlockedCells="1"/>
  <sortState ref="A4:D24">
    <sortCondition descending="1" ref="C4:C24"/>
    <sortCondition ref="B4:B24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8">
    <pageSetUpPr fitToPage="1"/>
  </sheetPr>
  <dimension ref="A1:R30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166"/>
    <col min="17" max="16384" width="9.1640625" style="8"/>
  </cols>
  <sheetData>
    <row r="1" spans="1:18" s="56" customFormat="1" ht="43.5" customHeight="1" x14ac:dyDescent="0.15">
      <c r="B1" s="440" t="str">
        <f>'Tourplan m. sløjfer'!D11</f>
        <v xml:space="preserve">RBC Heritage 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P1" s="163"/>
    </row>
    <row r="2" spans="1:18" s="56" customFormat="1" ht="29.25" customHeight="1" x14ac:dyDescent="0.15">
      <c r="B2" s="449" t="s">
        <v>218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63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106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64"/>
    </row>
    <row r="4" spans="1:18" s="80" customFormat="1" ht="18" customHeight="1" x14ac:dyDescent="0.15">
      <c r="A4" s="362" t="s">
        <v>16</v>
      </c>
      <c r="B4" s="237">
        <v>19.7</v>
      </c>
      <c r="C4" s="12">
        <v>34</v>
      </c>
      <c r="D4" s="72">
        <v>31</v>
      </c>
      <c r="E4" s="73"/>
      <c r="F4" s="71">
        <v>1</v>
      </c>
      <c r="G4" s="71">
        <v>10</v>
      </c>
      <c r="H4" s="74">
        <f>N4+I4</f>
        <v>1550000</v>
      </c>
      <c r="I4" s="75">
        <f>IF(E4&gt;0,$N$13,0)+IF(C4&gt;0,50000,0)+IF(C4&lt;0,50000,0)</f>
        <v>50000</v>
      </c>
      <c r="J4" s="76" t="s">
        <v>86</v>
      </c>
      <c r="K4" s="77"/>
      <c r="L4" s="78"/>
      <c r="M4" s="79">
        <v>10</v>
      </c>
      <c r="N4" s="74">
        <f>N12*25%</f>
        <v>1500000</v>
      </c>
      <c r="P4" s="165"/>
    </row>
    <row r="5" spans="1:18" s="80" customFormat="1" ht="18" customHeight="1" x14ac:dyDescent="0.15">
      <c r="A5" s="362" t="s">
        <v>40</v>
      </c>
      <c r="B5" s="237">
        <v>22.1</v>
      </c>
      <c r="C5" s="71">
        <v>33</v>
      </c>
      <c r="D5" s="91">
        <v>34</v>
      </c>
      <c r="E5" s="73"/>
      <c r="F5" s="71">
        <v>2</v>
      </c>
      <c r="G5" s="71">
        <v>8</v>
      </c>
      <c r="H5" s="74">
        <f t="shared" ref="H5:H11" si="0">N5+I5</f>
        <v>1250000</v>
      </c>
      <c r="I5" s="75">
        <f t="shared" ref="I5:I28" si="1">IF(E5&gt;0,$N$13,0)+IF(C5&gt;0,50000,0)+IF(C5&lt;0,50000,0)</f>
        <v>50000</v>
      </c>
      <c r="J5" s="81" t="s">
        <v>87</v>
      </c>
      <c r="K5" s="82"/>
      <c r="L5" s="83"/>
      <c r="M5" s="84">
        <v>8</v>
      </c>
      <c r="N5" s="74">
        <f>N12*20%</f>
        <v>1200000</v>
      </c>
      <c r="P5" s="165"/>
    </row>
    <row r="6" spans="1:18" s="80" customFormat="1" ht="18" customHeight="1" x14ac:dyDescent="0.15">
      <c r="A6" s="362" t="s">
        <v>42</v>
      </c>
      <c r="B6" s="237">
        <v>16.100000000000001</v>
      </c>
      <c r="C6" s="71">
        <v>31</v>
      </c>
      <c r="D6" s="72">
        <v>34</v>
      </c>
      <c r="E6" s="73"/>
      <c r="F6" s="12">
        <v>3</v>
      </c>
      <c r="G6" s="12">
        <v>6</v>
      </c>
      <c r="H6" s="74">
        <f>N6+50000+100000</f>
        <v>1050000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900000</v>
      </c>
      <c r="P6" s="165"/>
    </row>
    <row r="7" spans="1:18" s="80" customFormat="1" ht="18" customHeight="1" x14ac:dyDescent="0.15">
      <c r="A7" s="362" t="s">
        <v>48</v>
      </c>
      <c r="B7" s="237">
        <v>7.9</v>
      </c>
      <c r="C7" s="71">
        <v>30</v>
      </c>
      <c r="D7" s="72">
        <v>36</v>
      </c>
      <c r="E7" s="73"/>
      <c r="F7" s="71">
        <v>4</v>
      </c>
      <c r="G7" s="71">
        <v>5</v>
      </c>
      <c r="H7" s="74">
        <f>N7+50000+100000</f>
        <v>870000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165"/>
      <c r="Q7" s="85"/>
      <c r="R7" s="86"/>
    </row>
    <row r="8" spans="1:18" s="80" customFormat="1" ht="18" customHeight="1" x14ac:dyDescent="0.15">
      <c r="A8" s="362" t="s">
        <v>18</v>
      </c>
      <c r="B8" s="237">
        <v>15.2</v>
      </c>
      <c r="C8" s="71">
        <v>30</v>
      </c>
      <c r="D8" s="72">
        <v>34</v>
      </c>
      <c r="E8" s="73"/>
      <c r="F8" s="71">
        <v>5</v>
      </c>
      <c r="G8" s="71">
        <v>4</v>
      </c>
      <c r="H8" s="74">
        <f t="shared" si="0"/>
        <v>650000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600000</v>
      </c>
      <c r="P8" s="165"/>
    </row>
    <row r="9" spans="1:18" s="80" customFormat="1" ht="18" customHeight="1" x14ac:dyDescent="0.15">
      <c r="A9" s="362" t="s">
        <v>38</v>
      </c>
      <c r="B9" s="237">
        <v>13.6</v>
      </c>
      <c r="C9" s="12">
        <v>29</v>
      </c>
      <c r="D9" s="72">
        <v>30</v>
      </c>
      <c r="E9" s="73"/>
      <c r="F9" s="88">
        <v>6</v>
      </c>
      <c r="G9" s="88">
        <v>3</v>
      </c>
      <c r="H9" s="74">
        <f t="shared" si="0"/>
        <v>530000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480000</v>
      </c>
      <c r="P9" s="165"/>
    </row>
    <row r="10" spans="1:18" s="80" customFormat="1" ht="18" customHeight="1" x14ac:dyDescent="0.15">
      <c r="A10" s="362" t="s">
        <v>26</v>
      </c>
      <c r="B10" s="237">
        <v>23.1</v>
      </c>
      <c r="C10" s="72">
        <v>29</v>
      </c>
      <c r="D10" s="72">
        <v>40</v>
      </c>
      <c r="E10" s="73"/>
      <c r="F10" s="71">
        <v>7</v>
      </c>
      <c r="G10" s="71">
        <v>2</v>
      </c>
      <c r="H10" s="74">
        <f t="shared" si="0"/>
        <v>410000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360000</v>
      </c>
      <c r="P10" s="165"/>
    </row>
    <row r="11" spans="1:18" s="80" customFormat="1" ht="18" customHeight="1" x14ac:dyDescent="0.15">
      <c r="A11" s="362" t="s">
        <v>22</v>
      </c>
      <c r="B11" s="237">
        <v>12.6</v>
      </c>
      <c r="C11" s="71">
        <v>28</v>
      </c>
      <c r="D11" s="72">
        <v>31</v>
      </c>
      <c r="E11" s="73">
        <v>20.18</v>
      </c>
      <c r="F11" s="71">
        <v>8</v>
      </c>
      <c r="G11" s="71">
        <v>1</v>
      </c>
      <c r="H11" s="74">
        <f t="shared" si="0"/>
        <v>650000</v>
      </c>
      <c r="I11" s="75">
        <f t="shared" si="1"/>
        <v>410000</v>
      </c>
      <c r="J11" s="81" t="s">
        <v>93</v>
      </c>
      <c r="K11" s="82"/>
      <c r="L11" s="83"/>
      <c r="M11" s="84">
        <v>1</v>
      </c>
      <c r="N11" s="74">
        <f>N12*4%</f>
        <v>240000</v>
      </c>
      <c r="P11" s="165"/>
    </row>
    <row r="12" spans="1:18" s="80" customFormat="1" ht="18" customHeight="1" x14ac:dyDescent="0.15">
      <c r="A12" s="362" t="s">
        <v>28</v>
      </c>
      <c r="B12" s="237">
        <v>11.3</v>
      </c>
      <c r="C12" s="71">
        <v>27</v>
      </c>
      <c r="D12" s="91">
        <v>39</v>
      </c>
      <c r="E12" s="73"/>
      <c r="F12" s="71"/>
      <c r="G12" s="71"/>
      <c r="H12" s="74">
        <f>I12</f>
        <v>50000</v>
      </c>
      <c r="I12" s="75">
        <f t="shared" si="1"/>
        <v>50000</v>
      </c>
      <c r="J12" s="89" t="s">
        <v>94</v>
      </c>
      <c r="K12" s="82"/>
      <c r="L12" s="83"/>
      <c r="M12" s="84"/>
      <c r="N12" s="90">
        <v>6000000</v>
      </c>
      <c r="P12" s="165"/>
    </row>
    <row r="13" spans="1:18" s="80" customFormat="1" ht="18" customHeight="1" x14ac:dyDescent="0.15">
      <c r="A13" s="362" t="s">
        <v>50</v>
      </c>
      <c r="B13" s="237">
        <v>24.7</v>
      </c>
      <c r="C13" s="72">
        <v>26</v>
      </c>
      <c r="D13" s="91">
        <v>37</v>
      </c>
      <c r="E13" s="73"/>
      <c r="F13" s="71"/>
      <c r="G13" s="71"/>
      <c r="H13" s="74">
        <f t="shared" ref="H13:H28" si="2">I13</f>
        <v>50000</v>
      </c>
      <c r="I13" s="75">
        <f t="shared" si="1"/>
        <v>50000</v>
      </c>
      <c r="J13" s="92" t="s">
        <v>95</v>
      </c>
      <c r="K13" s="93"/>
      <c r="L13" s="94"/>
      <c r="M13" s="95">
        <v>1</v>
      </c>
      <c r="N13" s="96">
        <f>N10</f>
        <v>360000</v>
      </c>
      <c r="P13" s="165"/>
    </row>
    <row r="14" spans="1:18" s="80" customFormat="1" ht="18" customHeight="1" x14ac:dyDescent="0.15">
      <c r="A14" s="362" t="s">
        <v>32</v>
      </c>
      <c r="B14" s="237">
        <v>13.7</v>
      </c>
      <c r="C14" s="71">
        <v>25</v>
      </c>
      <c r="D14" s="72">
        <v>38</v>
      </c>
      <c r="E14" s="73"/>
      <c r="F14" s="71"/>
      <c r="G14" s="71"/>
      <c r="H14" s="74">
        <f t="shared" si="2"/>
        <v>50000</v>
      </c>
      <c r="I14" s="75">
        <f t="shared" si="1"/>
        <v>50000</v>
      </c>
      <c r="J14" s="97"/>
      <c r="K14" s="93"/>
      <c r="L14" s="93"/>
      <c r="M14" s="98"/>
      <c r="N14" s="99"/>
      <c r="P14" s="165"/>
    </row>
    <row r="15" spans="1:18" s="80" customFormat="1" ht="18" customHeight="1" x14ac:dyDescent="0.15">
      <c r="A15" s="362" t="s">
        <v>10</v>
      </c>
      <c r="B15" s="237">
        <v>14.4</v>
      </c>
      <c r="C15" s="71">
        <v>25</v>
      </c>
      <c r="D15" s="72">
        <v>41</v>
      </c>
      <c r="E15" s="12"/>
      <c r="F15" s="71"/>
      <c r="G15" s="71"/>
      <c r="H15" s="74">
        <f t="shared" si="2"/>
        <v>50000</v>
      </c>
      <c r="I15" s="75">
        <f t="shared" si="1"/>
        <v>50000</v>
      </c>
      <c r="J15" s="100"/>
      <c r="K15" s="101"/>
      <c r="L15" s="101"/>
      <c r="M15" s="102"/>
      <c r="N15" s="103"/>
      <c r="P15" s="165"/>
    </row>
    <row r="16" spans="1:18" s="80" customFormat="1" ht="18" customHeight="1" x14ac:dyDescent="0.15">
      <c r="A16" s="362" t="s">
        <v>24</v>
      </c>
      <c r="B16" s="237">
        <v>13.3</v>
      </c>
      <c r="C16" s="72">
        <v>24</v>
      </c>
      <c r="D16" s="72">
        <v>36</v>
      </c>
      <c r="E16" s="12"/>
      <c r="F16" s="12"/>
      <c r="G16" s="12"/>
      <c r="H16" s="74">
        <f t="shared" si="2"/>
        <v>50000</v>
      </c>
      <c r="I16" s="75">
        <f t="shared" si="1"/>
        <v>50000</v>
      </c>
      <c r="P16" s="165"/>
    </row>
    <row r="17" spans="1:18" s="80" customFormat="1" ht="18" customHeight="1" x14ac:dyDescent="0.15">
      <c r="A17" s="362" t="s">
        <v>158</v>
      </c>
      <c r="B17" s="237">
        <v>15.3</v>
      </c>
      <c r="C17" s="91">
        <v>24</v>
      </c>
      <c r="D17" s="91">
        <v>39</v>
      </c>
      <c r="E17" s="91"/>
      <c r="F17" s="12"/>
      <c r="G17" s="12"/>
      <c r="H17" s="74">
        <f t="shared" si="2"/>
        <v>50000</v>
      </c>
      <c r="I17" s="75">
        <f t="shared" si="1"/>
        <v>50000</v>
      </c>
      <c r="O17" s="85"/>
      <c r="P17" s="165"/>
      <c r="Q17" s="85"/>
      <c r="R17" s="86"/>
    </row>
    <row r="18" spans="1:18" s="80" customFormat="1" ht="18" customHeight="1" x14ac:dyDescent="0.15">
      <c r="A18" s="362" t="s">
        <v>8</v>
      </c>
      <c r="B18" s="237">
        <v>21</v>
      </c>
      <c r="C18" s="72">
        <v>24</v>
      </c>
      <c r="D18" s="72">
        <v>36</v>
      </c>
      <c r="E18" s="12"/>
      <c r="F18" s="71"/>
      <c r="G18" s="71"/>
      <c r="H18" s="74">
        <f t="shared" si="2"/>
        <v>50000</v>
      </c>
      <c r="I18" s="75">
        <f t="shared" si="1"/>
        <v>50000</v>
      </c>
      <c r="J18" s="86"/>
      <c r="K18" s="86"/>
      <c r="L18" s="86"/>
      <c r="M18" s="86"/>
      <c r="P18" s="165"/>
    </row>
    <row r="19" spans="1:18" s="80" customFormat="1" ht="18" customHeight="1" x14ac:dyDescent="0.15">
      <c r="A19" s="362" t="s">
        <v>34</v>
      </c>
      <c r="B19" s="237">
        <v>15.6</v>
      </c>
      <c r="C19" s="71">
        <v>22</v>
      </c>
      <c r="D19" s="91">
        <v>43</v>
      </c>
      <c r="E19" s="73"/>
      <c r="F19" s="71"/>
      <c r="G19" s="71"/>
      <c r="H19" s="74">
        <f t="shared" si="2"/>
        <v>50000</v>
      </c>
      <c r="I19" s="75">
        <f t="shared" si="1"/>
        <v>50000</v>
      </c>
      <c r="J19" s="86"/>
      <c r="K19" s="86"/>
      <c r="L19" s="86"/>
      <c r="M19" s="86"/>
      <c r="P19" s="165"/>
    </row>
    <row r="20" spans="1:18" s="56" customFormat="1" ht="18" customHeight="1" x14ac:dyDescent="0.15">
      <c r="A20" s="362" t="s">
        <v>30</v>
      </c>
      <c r="B20" s="237">
        <v>10.199999999999999</v>
      </c>
      <c r="C20" s="71">
        <v>21</v>
      </c>
      <c r="D20" s="72">
        <v>36</v>
      </c>
      <c r="E20" s="73"/>
      <c r="F20" s="12"/>
      <c r="G20" s="12"/>
      <c r="H20" s="74">
        <f t="shared" si="2"/>
        <v>50000</v>
      </c>
      <c r="I20" s="75">
        <f t="shared" si="1"/>
        <v>50000</v>
      </c>
      <c r="P20" s="165"/>
    </row>
    <row r="21" spans="1:18" s="56" customFormat="1" ht="18" customHeight="1" x14ac:dyDescent="0.15">
      <c r="A21" s="362" t="s">
        <v>46</v>
      </c>
      <c r="B21" s="237">
        <v>23.1</v>
      </c>
      <c r="C21" s="71">
        <v>20</v>
      </c>
      <c r="D21" s="91">
        <v>44</v>
      </c>
      <c r="E21" s="73"/>
      <c r="F21" s="12"/>
      <c r="G21" s="12"/>
      <c r="H21" s="74">
        <f t="shared" si="2"/>
        <v>50000</v>
      </c>
      <c r="I21" s="75">
        <f t="shared" si="1"/>
        <v>50000</v>
      </c>
      <c r="P21" s="165"/>
    </row>
    <row r="22" spans="1:18" s="56" customFormat="1" ht="18" customHeight="1" x14ac:dyDescent="0.15">
      <c r="A22" s="362" t="s">
        <v>20</v>
      </c>
      <c r="B22" s="237">
        <v>16.8</v>
      </c>
      <c r="C22" s="71">
        <v>19</v>
      </c>
      <c r="D22" s="91">
        <v>39</v>
      </c>
      <c r="E22" s="12"/>
      <c r="F22" s="12"/>
      <c r="G22" s="12"/>
      <c r="H22" s="74">
        <f t="shared" si="2"/>
        <v>50000</v>
      </c>
      <c r="I22" s="75">
        <f t="shared" si="1"/>
        <v>50000</v>
      </c>
      <c r="P22" s="165"/>
    </row>
    <row r="23" spans="1:18" s="56" customFormat="1" ht="18" customHeight="1" x14ac:dyDescent="0.15">
      <c r="A23" s="362"/>
      <c r="B23" s="237"/>
      <c r="C23" s="71"/>
      <c r="D23" s="91"/>
      <c r="E23" s="12"/>
      <c r="F23" s="12"/>
      <c r="G23" s="12"/>
      <c r="H23" s="74">
        <f t="shared" si="2"/>
        <v>0</v>
      </c>
      <c r="I23" s="75">
        <f t="shared" si="1"/>
        <v>0</v>
      </c>
      <c r="P23" s="165"/>
    </row>
    <row r="24" spans="1:18" s="56" customFormat="1" ht="18" customHeight="1" x14ac:dyDescent="0.15">
      <c r="A24" s="362"/>
      <c r="B24" s="237"/>
      <c r="C24" s="71"/>
      <c r="D24" s="72"/>
      <c r="E24" s="12"/>
      <c r="F24" s="12"/>
      <c r="G24" s="12"/>
      <c r="H24" s="74">
        <f t="shared" si="2"/>
        <v>0</v>
      </c>
      <c r="I24" s="75">
        <f t="shared" si="1"/>
        <v>0</v>
      </c>
      <c r="P24" s="165"/>
    </row>
    <row r="25" spans="1:18" s="56" customFormat="1" ht="18" customHeight="1" x14ac:dyDescent="0.15">
      <c r="A25" s="362"/>
      <c r="B25" s="237"/>
      <c r="C25" s="71"/>
      <c r="D25" s="72"/>
      <c r="E25" s="12"/>
      <c r="F25" s="12"/>
      <c r="G25" s="12"/>
      <c r="H25" s="74">
        <f t="shared" si="2"/>
        <v>0</v>
      </c>
      <c r="I25" s="75">
        <f t="shared" si="1"/>
        <v>0</v>
      </c>
      <c r="P25" s="165"/>
    </row>
    <row r="26" spans="1:18" s="56" customFormat="1" ht="18" customHeight="1" x14ac:dyDescent="0.15">
      <c r="A26" s="362"/>
      <c r="B26" s="237"/>
      <c r="C26" s="72"/>
      <c r="D26" s="72"/>
      <c r="E26" s="12"/>
      <c r="F26" s="12"/>
      <c r="G26" s="12"/>
      <c r="H26" s="74">
        <f t="shared" si="2"/>
        <v>0</v>
      </c>
      <c r="I26" s="75"/>
      <c r="P26" s="165"/>
    </row>
    <row r="27" spans="1:18" s="56" customFormat="1" ht="18" customHeight="1" x14ac:dyDescent="0.15">
      <c r="A27" s="362"/>
      <c r="B27" s="237"/>
      <c r="C27" s="71"/>
      <c r="D27" s="72"/>
      <c r="E27" s="12"/>
      <c r="F27" s="71"/>
      <c r="G27" s="71"/>
      <c r="H27" s="74">
        <f t="shared" si="2"/>
        <v>0</v>
      </c>
      <c r="I27" s="75">
        <f t="shared" si="1"/>
        <v>0</v>
      </c>
      <c r="P27" s="165"/>
    </row>
    <row r="28" spans="1:18" s="56" customFormat="1" ht="18" customHeight="1" x14ac:dyDescent="0.15">
      <c r="A28" s="362"/>
      <c r="B28" s="237"/>
      <c r="C28" s="72"/>
      <c r="D28" s="176"/>
      <c r="E28" s="73"/>
      <c r="F28" s="71"/>
      <c r="G28" s="71"/>
      <c r="H28" s="74">
        <f t="shared" si="2"/>
        <v>0</v>
      </c>
      <c r="I28" s="75">
        <f t="shared" si="1"/>
        <v>0</v>
      </c>
      <c r="P28" s="165"/>
    </row>
    <row r="29" spans="1:18" ht="24" customHeight="1" thickBot="1" x14ac:dyDescent="0.25">
      <c r="C29" s="105"/>
      <c r="D29" s="177">
        <f>SUM(D4:D28)</f>
        <v>698</v>
      </c>
      <c r="E29" s="105"/>
      <c r="F29" s="3"/>
      <c r="G29" s="107">
        <f>SUM(G4:G28)</f>
        <v>39</v>
      </c>
      <c r="H29" s="107">
        <f>SUM(H4:H28)</f>
        <v>7510000</v>
      </c>
      <c r="I29" s="108"/>
    </row>
    <row r="30" spans="1:18" ht="19" thickTop="1" x14ac:dyDescent="0.2"/>
  </sheetData>
  <sheetProtection selectLockedCells="1" selectUnlockedCells="1"/>
  <sortState ref="A4:E22">
    <sortCondition descending="1" ref="C4:C22"/>
    <sortCondition ref="B4:B22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ignoredErrors>
    <ignoredError sqref="H6" formula="1"/>
  </ignoredError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9">
    <pageSetUpPr fitToPage="1"/>
  </sheetPr>
  <dimension ref="A1:R29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8" s="56" customFormat="1" ht="43.5" customHeight="1" x14ac:dyDescent="0.15">
      <c r="B1" s="440" t="str">
        <f>'Tourplan m. sløjfer'!D10</f>
        <v>MASTERS TOURNAMENT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8" s="56" customFormat="1" ht="29.25" customHeight="1" x14ac:dyDescent="0.15">
      <c r="B2" s="449" t="s">
        <v>207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106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</row>
    <row r="4" spans="1:18" s="80" customFormat="1" ht="18" customHeight="1" x14ac:dyDescent="0.15">
      <c r="A4" s="362" t="s">
        <v>42</v>
      </c>
      <c r="B4" s="237">
        <v>16.100000000000001</v>
      </c>
      <c r="C4" s="71">
        <v>30</v>
      </c>
      <c r="D4" s="91">
        <v>38</v>
      </c>
      <c r="E4" s="12"/>
      <c r="F4" s="71">
        <v>1</v>
      </c>
      <c r="G4" s="71">
        <v>10</v>
      </c>
      <c r="H4" s="74">
        <f t="shared" ref="H4:H11" si="0">N4+I4</f>
        <v>2050000</v>
      </c>
      <c r="I4" s="75">
        <f>IF(E4&gt;0,$N$13,0)+IF(C4&gt;0,50000,0)+IF(C4&lt;0,50000,0)</f>
        <v>50000</v>
      </c>
      <c r="J4" s="76" t="s">
        <v>86</v>
      </c>
      <c r="K4" s="77"/>
      <c r="L4" s="78"/>
      <c r="M4" s="79">
        <v>10</v>
      </c>
      <c r="N4" s="74">
        <f>N12*25%</f>
        <v>2000000</v>
      </c>
    </row>
    <row r="5" spans="1:18" s="80" customFormat="1" ht="18" customHeight="1" x14ac:dyDescent="0.15">
      <c r="A5" s="362" t="s">
        <v>46</v>
      </c>
      <c r="B5" s="237">
        <v>23.1</v>
      </c>
      <c r="C5" s="72">
        <v>30</v>
      </c>
      <c r="D5" s="72">
        <v>37</v>
      </c>
      <c r="E5" s="12"/>
      <c r="F5" s="71">
        <v>2</v>
      </c>
      <c r="G5" s="71">
        <v>8</v>
      </c>
      <c r="H5" s="74">
        <f t="shared" si="0"/>
        <v>1650000</v>
      </c>
      <c r="I5" s="75">
        <f t="shared" ref="I5:I28" si="1">IF(E5&gt;0,$N$13,0)+IF(C5&gt;0,50000,0)+IF(C5&lt;0,50000,0)</f>
        <v>50000</v>
      </c>
      <c r="J5" s="81" t="s">
        <v>87</v>
      </c>
      <c r="K5" s="82"/>
      <c r="L5" s="83"/>
      <c r="M5" s="84">
        <v>8</v>
      </c>
      <c r="N5" s="74">
        <f>N12*20%</f>
        <v>1600000</v>
      </c>
    </row>
    <row r="6" spans="1:18" s="80" customFormat="1" ht="18" customHeight="1" x14ac:dyDescent="0.15">
      <c r="A6" s="362" t="s">
        <v>28</v>
      </c>
      <c r="B6" s="237">
        <v>11.3</v>
      </c>
      <c r="C6" s="71">
        <v>29</v>
      </c>
      <c r="D6" s="91">
        <v>31</v>
      </c>
      <c r="E6" s="73"/>
      <c r="F6" s="12">
        <v>3</v>
      </c>
      <c r="G6" s="12">
        <v>6</v>
      </c>
      <c r="H6" s="74">
        <f t="shared" si="0"/>
        <v>1250000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1200000</v>
      </c>
    </row>
    <row r="7" spans="1:18" s="80" customFormat="1" ht="18" customHeight="1" x14ac:dyDescent="0.15">
      <c r="A7" s="362" t="s">
        <v>18</v>
      </c>
      <c r="B7" s="237">
        <v>15.2</v>
      </c>
      <c r="C7" s="12">
        <v>26</v>
      </c>
      <c r="D7" s="72">
        <v>39</v>
      </c>
      <c r="E7" s="12"/>
      <c r="F7" s="71">
        <v>4</v>
      </c>
      <c r="G7" s="71">
        <v>5</v>
      </c>
      <c r="H7" s="74">
        <f t="shared" si="0"/>
        <v>1010000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960000</v>
      </c>
      <c r="O7" s="85"/>
      <c r="P7" s="85"/>
      <c r="Q7" s="85"/>
      <c r="R7" s="86"/>
    </row>
    <row r="8" spans="1:18" s="80" customFormat="1" ht="18" customHeight="1" x14ac:dyDescent="0.15">
      <c r="A8" s="362" t="s">
        <v>147</v>
      </c>
      <c r="B8" s="237">
        <v>9.6999999999999993</v>
      </c>
      <c r="C8" s="71">
        <v>25</v>
      </c>
      <c r="D8" s="72">
        <v>38</v>
      </c>
      <c r="E8" s="12"/>
      <c r="F8" s="71">
        <v>5</v>
      </c>
      <c r="G8" s="71">
        <v>4</v>
      </c>
      <c r="H8" s="74">
        <f t="shared" si="0"/>
        <v>850000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800000</v>
      </c>
    </row>
    <row r="9" spans="1:18" s="80" customFormat="1" ht="18" customHeight="1" x14ac:dyDescent="0.15">
      <c r="A9" s="362" t="s">
        <v>22</v>
      </c>
      <c r="B9" s="237">
        <v>12.6</v>
      </c>
      <c r="C9" s="72">
        <v>25</v>
      </c>
      <c r="D9" s="72">
        <v>36</v>
      </c>
      <c r="E9" s="12"/>
      <c r="F9" s="88">
        <v>6</v>
      </c>
      <c r="G9" s="88">
        <v>3</v>
      </c>
      <c r="H9" s="74">
        <f t="shared" si="0"/>
        <v>690000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640000</v>
      </c>
    </row>
    <row r="10" spans="1:18" s="80" customFormat="1" ht="18" customHeight="1" x14ac:dyDescent="0.15">
      <c r="A10" s="362" t="s">
        <v>24</v>
      </c>
      <c r="B10" s="237">
        <v>13.3</v>
      </c>
      <c r="C10" s="71">
        <v>25</v>
      </c>
      <c r="D10" s="91">
        <v>36</v>
      </c>
      <c r="E10" s="73">
        <v>7.04</v>
      </c>
      <c r="F10" s="71">
        <v>7</v>
      </c>
      <c r="G10" s="71">
        <v>2</v>
      </c>
      <c r="H10" s="74">
        <v>630000</v>
      </c>
      <c r="I10" s="75">
        <f t="shared" si="1"/>
        <v>530000</v>
      </c>
      <c r="J10" s="81" t="s">
        <v>92</v>
      </c>
      <c r="K10" s="82"/>
      <c r="L10" s="83"/>
      <c r="M10" s="84">
        <v>2</v>
      </c>
      <c r="N10" s="74">
        <f>N12*6%</f>
        <v>480000</v>
      </c>
    </row>
    <row r="11" spans="1:18" s="80" customFormat="1" ht="18" customHeight="1" x14ac:dyDescent="0.15">
      <c r="A11" s="362" t="s">
        <v>10</v>
      </c>
      <c r="B11" s="237">
        <v>14.3</v>
      </c>
      <c r="C11" s="71">
        <v>25</v>
      </c>
      <c r="D11" s="91">
        <v>35</v>
      </c>
      <c r="E11" s="73"/>
      <c r="F11" s="71">
        <v>8</v>
      </c>
      <c r="G11" s="71">
        <v>1</v>
      </c>
      <c r="H11" s="74">
        <f t="shared" si="0"/>
        <v>370000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320000</v>
      </c>
    </row>
    <row r="12" spans="1:18" s="80" customFormat="1" ht="18" customHeight="1" x14ac:dyDescent="0.15">
      <c r="A12" s="362" t="s">
        <v>52</v>
      </c>
      <c r="B12" s="237">
        <v>11.4</v>
      </c>
      <c r="C12" s="72">
        <v>24</v>
      </c>
      <c r="D12" s="91">
        <v>37</v>
      </c>
      <c r="E12" s="73"/>
      <c r="F12" s="71"/>
      <c r="G12" s="71"/>
      <c r="H12" s="74">
        <f t="shared" ref="H12:H28" si="2">I12</f>
        <v>50000</v>
      </c>
      <c r="I12" s="75">
        <f t="shared" si="1"/>
        <v>50000</v>
      </c>
      <c r="J12" s="89" t="s">
        <v>94</v>
      </c>
      <c r="K12" s="82"/>
      <c r="L12" s="83"/>
      <c r="M12" s="84"/>
      <c r="N12" s="90">
        <v>8000000</v>
      </c>
    </row>
    <row r="13" spans="1:18" s="80" customFormat="1" ht="18" customHeight="1" x14ac:dyDescent="0.15">
      <c r="A13" s="362" t="s">
        <v>36</v>
      </c>
      <c r="B13" s="237">
        <v>19.5</v>
      </c>
      <c r="C13" s="71">
        <v>24</v>
      </c>
      <c r="D13" s="72">
        <v>38</v>
      </c>
      <c r="E13" s="73">
        <v>2.41</v>
      </c>
      <c r="F13" s="71"/>
      <c r="G13" s="71"/>
      <c r="H13" s="74">
        <f t="shared" si="2"/>
        <v>530000</v>
      </c>
      <c r="I13" s="75">
        <f t="shared" si="1"/>
        <v>530000</v>
      </c>
      <c r="J13" s="92" t="s">
        <v>95</v>
      </c>
      <c r="K13" s="93"/>
      <c r="L13" s="94"/>
      <c r="M13" s="95">
        <v>1</v>
      </c>
      <c r="N13" s="96">
        <f>N10</f>
        <v>480000</v>
      </c>
    </row>
    <row r="14" spans="1:18" s="80" customFormat="1" ht="18" customHeight="1" x14ac:dyDescent="0.15">
      <c r="A14" s="362" t="s">
        <v>30</v>
      </c>
      <c r="B14" s="237">
        <v>10.199999999999999</v>
      </c>
      <c r="C14" s="91">
        <v>23</v>
      </c>
      <c r="D14" s="72">
        <v>33</v>
      </c>
      <c r="E14" s="73"/>
      <c r="F14" s="71"/>
      <c r="G14" s="71"/>
      <c r="H14" s="74">
        <f t="shared" si="2"/>
        <v>50000</v>
      </c>
      <c r="I14" s="75">
        <f t="shared" si="1"/>
        <v>50000</v>
      </c>
      <c r="J14" s="97"/>
      <c r="K14" s="93"/>
      <c r="L14" s="93"/>
      <c r="M14" s="98"/>
      <c r="N14" s="99"/>
    </row>
    <row r="15" spans="1:18" s="80" customFormat="1" ht="18" customHeight="1" x14ac:dyDescent="0.15">
      <c r="A15" s="362" t="s">
        <v>8</v>
      </c>
      <c r="B15" s="237">
        <v>21</v>
      </c>
      <c r="C15" s="72">
        <v>23</v>
      </c>
      <c r="D15" s="72">
        <v>38</v>
      </c>
      <c r="E15" s="73"/>
      <c r="F15" s="71"/>
      <c r="G15" s="71"/>
      <c r="H15" s="74">
        <f t="shared" si="2"/>
        <v>50000</v>
      </c>
      <c r="I15" s="75">
        <f t="shared" si="1"/>
        <v>50000</v>
      </c>
      <c r="J15" s="100"/>
      <c r="K15" s="101"/>
      <c r="L15" s="101"/>
      <c r="M15" s="102"/>
      <c r="N15" s="103"/>
    </row>
    <row r="16" spans="1:18" s="80" customFormat="1" ht="18" customHeight="1" x14ac:dyDescent="0.15">
      <c r="A16" s="362" t="s">
        <v>20</v>
      </c>
      <c r="B16" s="237">
        <v>16.8</v>
      </c>
      <c r="C16" s="71">
        <v>21</v>
      </c>
      <c r="D16" s="72">
        <v>41</v>
      </c>
      <c r="E16" s="73"/>
      <c r="F16" s="12"/>
      <c r="G16" s="12"/>
      <c r="H16" s="74">
        <f t="shared" si="2"/>
        <v>50000</v>
      </c>
      <c r="I16" s="75">
        <f t="shared" si="1"/>
        <v>50000</v>
      </c>
    </row>
    <row r="17" spans="1:18" s="80" customFormat="1" ht="18" customHeight="1" x14ac:dyDescent="0.15">
      <c r="A17" s="362" t="s">
        <v>32</v>
      </c>
      <c r="B17" s="237">
        <v>13.7</v>
      </c>
      <c r="C17" s="71">
        <v>19</v>
      </c>
      <c r="D17" s="91">
        <v>36</v>
      </c>
      <c r="E17" s="88"/>
      <c r="F17" s="12"/>
      <c r="G17" s="12"/>
      <c r="H17" s="74">
        <f t="shared" si="2"/>
        <v>50000</v>
      </c>
      <c r="I17" s="75">
        <f t="shared" si="1"/>
        <v>50000</v>
      </c>
      <c r="O17" s="85"/>
      <c r="P17" s="85"/>
      <c r="Q17" s="85"/>
      <c r="R17" s="86"/>
    </row>
    <row r="18" spans="1:18" s="80" customFormat="1" ht="18" customHeight="1" x14ac:dyDescent="0.15">
      <c r="A18" s="362" t="s">
        <v>26</v>
      </c>
      <c r="B18" s="237">
        <v>23.1</v>
      </c>
      <c r="C18" s="72">
        <v>17</v>
      </c>
      <c r="D18" s="72">
        <v>43</v>
      </c>
      <c r="E18" s="12"/>
      <c r="F18" s="71"/>
      <c r="G18" s="71"/>
      <c r="H18" s="74">
        <f t="shared" si="2"/>
        <v>50000</v>
      </c>
      <c r="I18" s="75">
        <f t="shared" si="1"/>
        <v>50000</v>
      </c>
      <c r="J18" s="86"/>
      <c r="K18" s="86"/>
      <c r="L18" s="86"/>
      <c r="M18" s="86"/>
    </row>
    <row r="19" spans="1:18" s="80" customFormat="1" ht="18" customHeight="1" x14ac:dyDescent="0.15">
      <c r="A19" s="362"/>
      <c r="B19" s="237"/>
      <c r="C19" s="12"/>
      <c r="D19" s="72"/>
      <c r="E19" s="73"/>
      <c r="F19" s="71"/>
      <c r="G19" s="71"/>
      <c r="H19" s="74">
        <f t="shared" si="2"/>
        <v>0</v>
      </c>
      <c r="I19" s="75">
        <f t="shared" si="1"/>
        <v>0</v>
      </c>
      <c r="J19" s="86"/>
      <c r="K19" s="86"/>
      <c r="L19" s="86"/>
      <c r="M19" s="86"/>
    </row>
    <row r="20" spans="1:18" s="56" customFormat="1" ht="18" customHeight="1" x14ac:dyDescent="0.15">
      <c r="A20" s="362"/>
      <c r="B20" s="237"/>
      <c r="C20" s="72"/>
      <c r="D20" s="72"/>
      <c r="E20" s="73"/>
      <c r="F20" s="12"/>
      <c r="G20" s="12"/>
      <c r="H20" s="74">
        <f t="shared" si="2"/>
        <v>0</v>
      </c>
      <c r="I20" s="75">
        <f t="shared" si="1"/>
        <v>0</v>
      </c>
    </row>
    <row r="21" spans="1:18" s="56" customFormat="1" ht="18" customHeight="1" x14ac:dyDescent="0.15">
      <c r="A21" s="362"/>
      <c r="B21" s="237"/>
      <c r="C21" s="71"/>
      <c r="D21" s="72"/>
      <c r="E21" s="12"/>
      <c r="F21" s="12"/>
      <c r="G21" s="12"/>
      <c r="H21" s="74">
        <f t="shared" si="2"/>
        <v>0</v>
      </c>
      <c r="I21" s="75">
        <f t="shared" si="1"/>
        <v>0</v>
      </c>
    </row>
    <row r="22" spans="1:18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1"/>
        <v>0</v>
      </c>
    </row>
    <row r="23" spans="1:18" s="56" customFormat="1" ht="18" customHeight="1" x14ac:dyDescent="0.15">
      <c r="A23" s="362"/>
      <c r="B23" s="237"/>
      <c r="C23" s="71"/>
      <c r="D23" s="91"/>
      <c r="E23" s="73"/>
      <c r="F23" s="12"/>
      <c r="G23" s="12"/>
      <c r="H23" s="74">
        <f t="shared" si="2"/>
        <v>0</v>
      </c>
      <c r="I23" s="75">
        <f t="shared" si="1"/>
        <v>0</v>
      </c>
    </row>
    <row r="24" spans="1:18" s="56" customFormat="1" ht="18" customHeight="1" x14ac:dyDescent="0.15">
      <c r="A24" s="362"/>
      <c r="B24" s="237"/>
      <c r="C24" s="71"/>
      <c r="D24" s="91"/>
      <c r="E24" s="73"/>
      <c r="F24" s="12"/>
      <c r="G24" s="12"/>
      <c r="H24" s="74">
        <f t="shared" si="2"/>
        <v>0</v>
      </c>
      <c r="I24" s="75">
        <f t="shared" si="1"/>
        <v>0</v>
      </c>
    </row>
    <row r="25" spans="1:18" s="56" customFormat="1" ht="18" customHeight="1" x14ac:dyDescent="0.15">
      <c r="A25" s="362"/>
      <c r="B25" s="237"/>
      <c r="C25" s="71"/>
      <c r="D25" s="91"/>
      <c r="E25" s="73"/>
      <c r="F25" s="12"/>
      <c r="G25" s="12"/>
      <c r="H25" s="74">
        <f t="shared" si="2"/>
        <v>0</v>
      </c>
      <c r="I25" s="75"/>
    </row>
    <row r="26" spans="1:18" s="56" customFormat="1" ht="18" customHeight="1" x14ac:dyDescent="0.15">
      <c r="A26" s="362"/>
      <c r="B26" s="237"/>
      <c r="C26" s="71"/>
      <c r="D26" s="72"/>
      <c r="E26" s="73"/>
      <c r="F26" s="12"/>
      <c r="G26" s="12"/>
      <c r="H26" s="74">
        <f t="shared" si="2"/>
        <v>0</v>
      </c>
      <c r="I26" s="75">
        <f t="shared" si="1"/>
        <v>0</v>
      </c>
    </row>
    <row r="27" spans="1:18" s="56" customFormat="1" ht="18" customHeight="1" x14ac:dyDescent="0.15">
      <c r="A27" s="362"/>
      <c r="B27" s="237"/>
      <c r="C27" s="71"/>
      <c r="D27" s="72"/>
      <c r="E27" s="12"/>
      <c r="F27" s="71"/>
      <c r="G27" s="71"/>
      <c r="H27" s="74">
        <f t="shared" si="2"/>
        <v>0</v>
      </c>
      <c r="I27" s="75">
        <f t="shared" si="1"/>
        <v>0</v>
      </c>
    </row>
    <row r="28" spans="1:18" s="56" customFormat="1" ht="18" customHeight="1" x14ac:dyDescent="0.15">
      <c r="A28" s="362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1"/>
        <v>0</v>
      </c>
    </row>
    <row r="29" spans="1:18" ht="24" customHeight="1" x14ac:dyDescent="0.15">
      <c r="A29" s="1"/>
      <c r="B29" s="3"/>
      <c r="C29" s="105"/>
      <c r="D29" s="122">
        <f>SUM(D4:D28)</f>
        <v>556</v>
      </c>
      <c r="E29" s="105"/>
      <c r="F29" s="3"/>
      <c r="G29" s="107">
        <f>SUM(G4:G28)</f>
        <v>39</v>
      </c>
      <c r="H29" s="107">
        <f>SUM(H4:H28)</f>
        <v>9330000</v>
      </c>
      <c r="I29" s="108"/>
    </row>
  </sheetData>
  <sheetProtection selectLockedCells="1" selectUnlockedCells="1"/>
  <sortState ref="A4:D18">
    <sortCondition descending="1" ref="C4:C18"/>
    <sortCondition ref="B4:B18"/>
  </sortState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40">
    <pageSetUpPr fitToPage="1"/>
  </sheetPr>
  <dimension ref="A1:R30"/>
  <sheetViews>
    <sheetView workbookViewId="0"/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166"/>
    <col min="17" max="16384" width="9.1640625" style="8"/>
  </cols>
  <sheetData>
    <row r="1" spans="1:18" s="56" customFormat="1" ht="43.5" customHeight="1" x14ac:dyDescent="0.15">
      <c r="B1" s="440" t="s">
        <v>113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P1" s="163"/>
    </row>
    <row r="2" spans="1:18" s="56" customFormat="1" ht="29.25" customHeight="1" x14ac:dyDescent="0.15">
      <c r="B2" s="449" t="s">
        <v>204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63"/>
    </row>
    <row r="3" spans="1:18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106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64"/>
    </row>
    <row r="4" spans="1:18" s="80" customFormat="1" ht="18" customHeight="1" x14ac:dyDescent="0.15">
      <c r="A4" s="362"/>
      <c r="B4" s="237"/>
      <c r="C4" s="71"/>
      <c r="D4" s="72"/>
      <c r="E4" s="73"/>
      <c r="F4" s="71">
        <v>1</v>
      </c>
      <c r="G4" s="71">
        <v>10</v>
      </c>
      <c r="H4" s="74">
        <f>N4+I4</f>
        <v>1500000</v>
      </c>
      <c r="I4" s="75">
        <f>IF(E4&gt;0,$N$13,0)+IF(C4&gt;0,50000,0)+IF(C4&lt;0,50000,0)</f>
        <v>0</v>
      </c>
      <c r="J4" s="76" t="s">
        <v>86</v>
      </c>
      <c r="K4" s="77"/>
      <c r="L4" s="78"/>
      <c r="M4" s="79">
        <v>10</v>
      </c>
      <c r="N4" s="74">
        <f>N12*25%</f>
        <v>1500000</v>
      </c>
      <c r="P4" s="165"/>
    </row>
    <row r="5" spans="1:18" s="80" customFormat="1" ht="18" customHeight="1" x14ac:dyDescent="0.15">
      <c r="A5" s="362"/>
      <c r="B5" s="237"/>
      <c r="C5" s="71"/>
      <c r="D5" s="91"/>
      <c r="E5" s="73"/>
      <c r="F5" s="71">
        <v>2</v>
      </c>
      <c r="G5" s="71">
        <v>8</v>
      </c>
      <c r="H5" s="74">
        <f t="shared" ref="H5:H11" si="0">N5+I5</f>
        <v>1200000</v>
      </c>
      <c r="I5" s="75">
        <f t="shared" ref="I5:I28" si="1">IF(E5&gt;0,$N$13,0)+IF(C5&gt;0,50000,0)+IF(C5&lt;0,50000,0)</f>
        <v>0</v>
      </c>
      <c r="J5" s="81" t="s">
        <v>87</v>
      </c>
      <c r="K5" s="82"/>
      <c r="L5" s="83"/>
      <c r="M5" s="84">
        <v>8</v>
      </c>
      <c r="N5" s="74">
        <f>N12*20%</f>
        <v>1200000</v>
      </c>
      <c r="P5" s="165"/>
    </row>
    <row r="6" spans="1:18" s="80" customFormat="1" ht="18" customHeight="1" x14ac:dyDescent="0.15">
      <c r="A6" s="362"/>
      <c r="B6" s="237"/>
      <c r="C6" s="72"/>
      <c r="D6" s="72"/>
      <c r="E6" s="73"/>
      <c r="F6" s="12">
        <v>3</v>
      </c>
      <c r="G6" s="12">
        <v>6</v>
      </c>
      <c r="H6" s="74">
        <f>N6+50000+100000</f>
        <v>1050000</v>
      </c>
      <c r="I6" s="75">
        <f t="shared" si="1"/>
        <v>0</v>
      </c>
      <c r="J6" s="81" t="s">
        <v>88</v>
      </c>
      <c r="K6" s="82"/>
      <c r="L6" s="83"/>
      <c r="M6" s="84">
        <v>6</v>
      </c>
      <c r="N6" s="74">
        <f>N12*15%</f>
        <v>900000</v>
      </c>
      <c r="P6" s="165"/>
    </row>
    <row r="7" spans="1:18" s="80" customFormat="1" ht="18" customHeight="1" x14ac:dyDescent="0.15">
      <c r="A7" s="362"/>
      <c r="B7" s="237"/>
      <c r="C7" s="71"/>
      <c r="D7" s="72"/>
      <c r="E7" s="12"/>
      <c r="F7" s="71">
        <v>4</v>
      </c>
      <c r="G7" s="71">
        <v>5</v>
      </c>
      <c r="H7" s="74">
        <f>N7+50000+100000</f>
        <v>870000</v>
      </c>
      <c r="I7" s="75">
        <f t="shared" si="1"/>
        <v>0</v>
      </c>
      <c r="J7" s="81" t="s">
        <v>89</v>
      </c>
      <c r="K7" s="82"/>
      <c r="L7" s="83"/>
      <c r="M7" s="84">
        <v>5</v>
      </c>
      <c r="N7" s="74">
        <f>N12*12%</f>
        <v>720000</v>
      </c>
      <c r="O7" s="85"/>
      <c r="P7" s="165"/>
      <c r="Q7" s="85"/>
      <c r="R7" s="86"/>
    </row>
    <row r="8" spans="1:18" s="80" customFormat="1" ht="18" customHeight="1" x14ac:dyDescent="0.15">
      <c r="A8" s="362"/>
      <c r="B8" s="237"/>
      <c r="C8" s="72"/>
      <c r="D8" s="72"/>
      <c r="E8" s="73"/>
      <c r="F8" s="71">
        <v>5</v>
      </c>
      <c r="G8" s="71">
        <v>4</v>
      </c>
      <c r="H8" s="74">
        <f t="shared" si="0"/>
        <v>600000</v>
      </c>
      <c r="I8" s="75">
        <f t="shared" si="1"/>
        <v>0</v>
      </c>
      <c r="J8" s="81" t="s">
        <v>90</v>
      </c>
      <c r="K8" s="82"/>
      <c r="L8" s="83"/>
      <c r="M8" s="84">
        <v>4</v>
      </c>
      <c r="N8" s="74">
        <f>N12*10%</f>
        <v>600000</v>
      </c>
      <c r="P8" s="165"/>
    </row>
    <row r="9" spans="1:18" s="80" customFormat="1" ht="18" customHeight="1" x14ac:dyDescent="0.15">
      <c r="A9" s="362"/>
      <c r="B9" s="237"/>
      <c r="C9" s="72"/>
      <c r="D9" s="72"/>
      <c r="E9" s="73"/>
      <c r="F9" s="88">
        <v>6</v>
      </c>
      <c r="G9" s="88">
        <v>3</v>
      </c>
      <c r="H9" s="74">
        <f t="shared" si="0"/>
        <v>480000</v>
      </c>
      <c r="I9" s="75">
        <f t="shared" si="1"/>
        <v>0</v>
      </c>
      <c r="J9" s="81" t="s">
        <v>91</v>
      </c>
      <c r="K9" s="82"/>
      <c r="L9" s="83"/>
      <c r="M9" s="84">
        <v>3</v>
      </c>
      <c r="N9" s="74">
        <f>N12*8%</f>
        <v>480000</v>
      </c>
      <c r="P9" s="165"/>
    </row>
    <row r="10" spans="1:18" s="80" customFormat="1" ht="18" customHeight="1" x14ac:dyDescent="0.15">
      <c r="A10" s="362"/>
      <c r="B10" s="237"/>
      <c r="C10" s="72"/>
      <c r="D10" s="72"/>
      <c r="E10" s="73"/>
      <c r="F10" s="71">
        <v>7</v>
      </c>
      <c r="G10" s="71">
        <v>2</v>
      </c>
      <c r="H10" s="74">
        <f t="shared" si="0"/>
        <v>360000</v>
      </c>
      <c r="I10" s="75">
        <f t="shared" si="1"/>
        <v>0</v>
      </c>
      <c r="J10" s="81" t="s">
        <v>92</v>
      </c>
      <c r="K10" s="82"/>
      <c r="L10" s="83"/>
      <c r="M10" s="84">
        <v>2</v>
      </c>
      <c r="N10" s="74">
        <f>N12*6%</f>
        <v>360000</v>
      </c>
      <c r="P10" s="165"/>
    </row>
    <row r="11" spans="1:18" s="80" customFormat="1" ht="18" customHeight="1" x14ac:dyDescent="0.15">
      <c r="A11" s="362"/>
      <c r="B11" s="237"/>
      <c r="C11" s="72"/>
      <c r="D11" s="72"/>
      <c r="E11" s="12"/>
      <c r="F11" s="71">
        <v>8</v>
      </c>
      <c r="G11" s="71">
        <v>1</v>
      </c>
      <c r="H11" s="74">
        <f t="shared" si="0"/>
        <v>240000</v>
      </c>
      <c r="I11" s="75">
        <f t="shared" si="1"/>
        <v>0</v>
      </c>
      <c r="J11" s="81" t="s">
        <v>93</v>
      </c>
      <c r="K11" s="82"/>
      <c r="L11" s="83"/>
      <c r="M11" s="84">
        <v>1</v>
      </c>
      <c r="N11" s="74">
        <f>N12*4%</f>
        <v>240000</v>
      </c>
      <c r="P11" s="165"/>
    </row>
    <row r="12" spans="1:18" s="80" customFormat="1" ht="18" customHeight="1" x14ac:dyDescent="0.15">
      <c r="A12" s="362"/>
      <c r="B12" s="237"/>
      <c r="C12" s="71"/>
      <c r="D12" s="72"/>
      <c r="E12" s="73"/>
      <c r="F12" s="71"/>
      <c r="G12" s="71"/>
      <c r="H12" s="74">
        <f>I12</f>
        <v>0</v>
      </c>
      <c r="I12" s="75">
        <f t="shared" si="1"/>
        <v>0</v>
      </c>
      <c r="J12" s="89" t="s">
        <v>94</v>
      </c>
      <c r="K12" s="82"/>
      <c r="L12" s="83"/>
      <c r="M12" s="84"/>
      <c r="N12" s="90">
        <v>6000000</v>
      </c>
      <c r="P12" s="165"/>
    </row>
    <row r="13" spans="1:18" s="80" customFormat="1" ht="18" customHeight="1" x14ac:dyDescent="0.15">
      <c r="A13" s="362"/>
      <c r="B13" s="237"/>
      <c r="C13" s="71"/>
      <c r="D13" s="91"/>
      <c r="E13" s="73"/>
      <c r="F13" s="71"/>
      <c r="G13" s="71"/>
      <c r="H13" s="74">
        <f t="shared" ref="H13:H28" si="2">I13</f>
        <v>0</v>
      </c>
      <c r="I13" s="75">
        <f t="shared" si="1"/>
        <v>0</v>
      </c>
      <c r="J13" s="92" t="s">
        <v>95</v>
      </c>
      <c r="K13" s="93"/>
      <c r="L13" s="94"/>
      <c r="M13" s="95">
        <v>1</v>
      </c>
      <c r="N13" s="96">
        <f>N10</f>
        <v>360000</v>
      </c>
      <c r="P13" s="165"/>
    </row>
    <row r="14" spans="1:18" s="80" customFormat="1" ht="18" customHeight="1" x14ac:dyDescent="0.15">
      <c r="A14" s="362"/>
      <c r="B14" s="237"/>
      <c r="C14" s="71"/>
      <c r="D14" s="72"/>
      <c r="E14" s="73"/>
      <c r="F14" s="71"/>
      <c r="G14" s="71"/>
      <c r="H14" s="74">
        <f t="shared" si="2"/>
        <v>0</v>
      </c>
      <c r="I14" s="75">
        <f t="shared" si="1"/>
        <v>0</v>
      </c>
      <c r="J14" s="97"/>
      <c r="K14" s="93"/>
      <c r="L14" s="93"/>
      <c r="M14" s="98"/>
      <c r="N14" s="99"/>
      <c r="P14" s="165"/>
    </row>
    <row r="15" spans="1:18" s="80" customFormat="1" ht="18" customHeight="1" x14ac:dyDescent="0.15">
      <c r="A15" s="362"/>
      <c r="B15" s="237"/>
      <c r="C15" s="91"/>
      <c r="D15" s="72"/>
      <c r="E15" s="73"/>
      <c r="F15" s="71"/>
      <c r="G15" s="71"/>
      <c r="H15" s="74">
        <f t="shared" si="2"/>
        <v>0</v>
      </c>
      <c r="I15" s="75">
        <f t="shared" si="1"/>
        <v>0</v>
      </c>
      <c r="J15" s="100"/>
      <c r="K15" s="101"/>
      <c r="L15" s="101"/>
      <c r="M15" s="102"/>
      <c r="N15" s="103"/>
      <c r="P15" s="165"/>
    </row>
    <row r="16" spans="1:18" s="80" customFormat="1" ht="18" customHeight="1" x14ac:dyDescent="0.15">
      <c r="A16" s="362"/>
      <c r="B16" s="237"/>
      <c r="C16" s="71"/>
      <c r="D16" s="72"/>
      <c r="E16" s="91"/>
      <c r="F16" s="12"/>
      <c r="G16" s="12"/>
      <c r="H16" s="74">
        <f t="shared" si="2"/>
        <v>0</v>
      </c>
      <c r="I16" s="75">
        <f t="shared" si="1"/>
        <v>0</v>
      </c>
      <c r="P16" s="165"/>
    </row>
    <row r="17" spans="1:18" s="80" customFormat="1" ht="18" customHeight="1" x14ac:dyDescent="0.15">
      <c r="A17" s="362"/>
      <c r="B17" s="237"/>
      <c r="C17" s="71"/>
      <c r="D17" s="91"/>
      <c r="E17" s="12"/>
      <c r="F17" s="12"/>
      <c r="G17" s="12"/>
      <c r="H17" s="74">
        <f t="shared" si="2"/>
        <v>0</v>
      </c>
      <c r="I17" s="75">
        <f t="shared" si="1"/>
        <v>0</v>
      </c>
      <c r="O17" s="85"/>
      <c r="P17" s="165"/>
      <c r="Q17" s="85"/>
      <c r="R17" s="86"/>
    </row>
    <row r="18" spans="1:18" s="80" customFormat="1" ht="18" customHeight="1" x14ac:dyDescent="0.15">
      <c r="A18" s="362"/>
      <c r="B18" s="237"/>
      <c r="C18" s="71"/>
      <c r="D18" s="91"/>
      <c r="E18" s="73"/>
      <c r="F18" s="71"/>
      <c r="G18" s="71"/>
      <c r="H18" s="74">
        <f t="shared" si="2"/>
        <v>0</v>
      </c>
      <c r="I18" s="75">
        <f t="shared" si="1"/>
        <v>0</v>
      </c>
      <c r="J18" s="86"/>
      <c r="K18" s="86"/>
      <c r="L18" s="86"/>
      <c r="M18" s="86"/>
      <c r="P18" s="165"/>
    </row>
    <row r="19" spans="1:18" s="80" customFormat="1" ht="18" customHeight="1" x14ac:dyDescent="0.15">
      <c r="A19" s="362"/>
      <c r="B19" s="237"/>
      <c r="C19" s="12"/>
      <c r="D19" s="72"/>
      <c r="E19" s="73"/>
      <c r="F19" s="71"/>
      <c r="G19" s="71"/>
      <c r="H19" s="74">
        <f t="shared" si="2"/>
        <v>0</v>
      </c>
      <c r="I19" s="75">
        <f t="shared" si="1"/>
        <v>0</v>
      </c>
      <c r="J19" s="86"/>
      <c r="K19" s="86"/>
      <c r="L19" s="86"/>
      <c r="M19" s="86"/>
      <c r="P19" s="165"/>
    </row>
    <row r="20" spans="1:18" s="56" customFormat="1" ht="18" customHeight="1" x14ac:dyDescent="0.15">
      <c r="A20" s="362"/>
      <c r="B20" s="237"/>
      <c r="C20" s="71"/>
      <c r="D20" s="91"/>
      <c r="E20" s="73"/>
      <c r="F20" s="12"/>
      <c r="G20" s="12"/>
      <c r="H20" s="74">
        <f t="shared" si="2"/>
        <v>0</v>
      </c>
      <c r="I20" s="75">
        <f t="shared" si="1"/>
        <v>0</v>
      </c>
      <c r="P20" s="165"/>
    </row>
    <row r="21" spans="1:18" s="56" customFormat="1" ht="18" customHeight="1" x14ac:dyDescent="0.15">
      <c r="A21" s="362"/>
      <c r="B21" s="237"/>
      <c r="C21" s="71"/>
      <c r="D21" s="91"/>
      <c r="E21" s="73"/>
      <c r="F21" s="12"/>
      <c r="G21" s="12"/>
      <c r="H21" s="74">
        <f t="shared" si="2"/>
        <v>0</v>
      </c>
      <c r="I21" s="75">
        <f t="shared" si="1"/>
        <v>0</v>
      </c>
      <c r="P21" s="165"/>
    </row>
    <row r="22" spans="1:18" s="56" customFormat="1" ht="18" customHeight="1" x14ac:dyDescent="0.15">
      <c r="A22" s="362"/>
      <c r="B22" s="237"/>
      <c r="C22" s="71"/>
      <c r="D22" s="91"/>
      <c r="E22" s="12"/>
      <c r="F22" s="12"/>
      <c r="G22" s="12"/>
      <c r="H22" s="74">
        <f t="shared" si="2"/>
        <v>0</v>
      </c>
      <c r="I22" s="75">
        <f t="shared" si="1"/>
        <v>0</v>
      </c>
      <c r="P22" s="165"/>
    </row>
    <row r="23" spans="1:18" s="56" customFormat="1" ht="18" customHeight="1" x14ac:dyDescent="0.15">
      <c r="A23" s="362"/>
      <c r="B23" s="237"/>
      <c r="C23" s="71"/>
      <c r="D23" s="91"/>
      <c r="E23" s="12"/>
      <c r="F23" s="12"/>
      <c r="G23" s="12"/>
      <c r="H23" s="74">
        <f t="shared" si="2"/>
        <v>0</v>
      </c>
      <c r="I23" s="75">
        <f t="shared" si="1"/>
        <v>0</v>
      </c>
      <c r="P23" s="165"/>
    </row>
    <row r="24" spans="1:18" s="56" customFormat="1" ht="18" customHeight="1" x14ac:dyDescent="0.15">
      <c r="A24" s="362"/>
      <c r="B24" s="237"/>
      <c r="C24" s="71"/>
      <c r="D24" s="91"/>
      <c r="E24" s="12"/>
      <c r="F24" s="12"/>
      <c r="G24" s="12"/>
      <c r="H24" s="74">
        <f t="shared" si="2"/>
        <v>0</v>
      </c>
      <c r="I24" s="75">
        <f t="shared" si="1"/>
        <v>0</v>
      </c>
      <c r="P24" s="165"/>
    </row>
    <row r="25" spans="1:18" s="56" customFormat="1" ht="18" customHeight="1" x14ac:dyDescent="0.15">
      <c r="A25" s="362"/>
      <c r="B25" s="237"/>
      <c r="C25" s="71"/>
      <c r="D25" s="72"/>
      <c r="E25" s="12"/>
      <c r="F25" s="12"/>
      <c r="G25" s="12"/>
      <c r="H25" s="74">
        <f t="shared" si="2"/>
        <v>0</v>
      </c>
      <c r="I25" s="75">
        <f t="shared" si="1"/>
        <v>0</v>
      </c>
      <c r="P25" s="165"/>
    </row>
    <row r="26" spans="1:18" s="56" customFormat="1" ht="18" customHeight="1" x14ac:dyDescent="0.15">
      <c r="A26" s="362"/>
      <c r="B26" s="237"/>
      <c r="C26" s="71"/>
      <c r="D26" s="72"/>
      <c r="E26" s="12"/>
      <c r="F26" s="12"/>
      <c r="G26" s="12"/>
      <c r="H26" s="74">
        <f t="shared" si="2"/>
        <v>0</v>
      </c>
      <c r="I26" s="75">
        <f t="shared" si="1"/>
        <v>0</v>
      </c>
      <c r="P26" s="165"/>
    </row>
    <row r="27" spans="1:18" s="56" customFormat="1" ht="18" customHeight="1" x14ac:dyDescent="0.15">
      <c r="A27" s="362"/>
      <c r="B27" s="237"/>
      <c r="C27" s="12"/>
      <c r="D27" s="72"/>
      <c r="E27" s="12"/>
      <c r="F27" s="71"/>
      <c r="G27" s="71"/>
      <c r="H27" s="74">
        <f t="shared" si="2"/>
        <v>0</v>
      </c>
      <c r="I27" s="75">
        <f t="shared" si="1"/>
        <v>0</v>
      </c>
      <c r="P27" s="165"/>
    </row>
    <row r="28" spans="1:18" s="56" customFormat="1" ht="18" customHeight="1" x14ac:dyDescent="0.15">
      <c r="A28" s="362"/>
      <c r="B28" s="237"/>
      <c r="C28" s="292"/>
      <c r="D28" s="176"/>
      <c r="E28" s="73"/>
      <c r="F28" s="71"/>
      <c r="G28" s="71"/>
      <c r="H28" s="74">
        <f t="shared" si="2"/>
        <v>0</v>
      </c>
      <c r="I28" s="75">
        <f t="shared" si="1"/>
        <v>0</v>
      </c>
      <c r="P28" s="165"/>
    </row>
    <row r="29" spans="1:18" ht="24" customHeight="1" thickBot="1" x14ac:dyDescent="0.2">
      <c r="A29" s="364"/>
      <c r="B29" s="365"/>
      <c r="C29" s="105"/>
      <c r="D29" s="177">
        <f>SUM(D4:D28)</f>
        <v>0</v>
      </c>
      <c r="E29" s="105"/>
      <c r="F29" s="3"/>
      <c r="G29" s="107">
        <f>SUM(G4:G28)</f>
        <v>39</v>
      </c>
      <c r="H29" s="107">
        <f>SUM(H4:H28)</f>
        <v>6300000</v>
      </c>
      <c r="I29" s="108"/>
    </row>
    <row r="30" spans="1:18" ht="19" thickTop="1" x14ac:dyDescent="0.2">
      <c r="A30" s="366"/>
      <c r="B30" s="367"/>
    </row>
  </sheetData>
  <sheetProtection selectLockedCells="1" selectUnlockedCells="1"/>
  <mergeCells count="2">
    <mergeCell ref="B1:N1"/>
    <mergeCell ref="B2:N2"/>
  </mergeCells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scale="89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rgb="FFFF0000"/>
  </sheetPr>
  <dimension ref="A1:AN31"/>
  <sheetViews>
    <sheetView zoomScale="120" zoomScaleNormal="120" workbookViewId="0">
      <selection activeCell="K4" sqref="K4"/>
    </sheetView>
  </sheetViews>
  <sheetFormatPr baseColWidth="10" defaultColWidth="9.1640625" defaultRowHeight="16" x14ac:dyDescent="0.2"/>
  <cols>
    <col min="1" max="1" width="1.33203125" style="14" customWidth="1"/>
    <col min="2" max="2" width="25.1640625" style="14" customWidth="1"/>
    <col min="3" max="3" width="10.33203125" style="25" customWidth="1"/>
    <col min="4" max="35" width="3.83203125" style="25" customWidth="1"/>
    <col min="36" max="36" width="4.83203125" style="26" customWidth="1"/>
    <col min="37" max="37" width="5.5" style="26" customWidth="1"/>
    <col min="38" max="38" width="4.5" style="27" customWidth="1"/>
    <col min="39" max="16384" width="9.1640625" style="14"/>
  </cols>
  <sheetData>
    <row r="1" spans="1:40" ht="24.75" customHeight="1" x14ac:dyDescent="0.2">
      <c r="C1" s="17" t="s">
        <v>58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28"/>
      <c r="AK1" s="28"/>
      <c r="AL1" s="29"/>
    </row>
    <row r="2" spans="1:40" s="19" customFormat="1" ht="66.75" customHeight="1" x14ac:dyDescent="0.15">
      <c r="B2" s="20"/>
      <c r="C2" s="30" t="s">
        <v>55</v>
      </c>
      <c r="D2" s="179">
        <v>43379</v>
      </c>
      <c r="E2" s="179">
        <v>43377</v>
      </c>
      <c r="F2" s="179">
        <v>43370</v>
      </c>
      <c r="G2" s="179">
        <v>43363</v>
      </c>
      <c r="H2" s="179">
        <v>43356</v>
      </c>
      <c r="I2" s="179">
        <v>43352</v>
      </c>
      <c r="J2" s="179">
        <v>43351</v>
      </c>
      <c r="K2" s="179">
        <v>43349</v>
      </c>
      <c r="L2" s="179">
        <v>43342</v>
      </c>
      <c r="M2" s="179">
        <v>43335</v>
      </c>
      <c r="N2" s="179">
        <v>43328</v>
      </c>
      <c r="O2" s="179">
        <v>43321</v>
      </c>
      <c r="P2" s="179">
        <v>43314</v>
      </c>
      <c r="Q2" s="179">
        <v>43307</v>
      </c>
      <c r="R2" s="179">
        <v>43300</v>
      </c>
      <c r="S2" s="179">
        <v>43293</v>
      </c>
      <c r="T2" s="179">
        <v>43286</v>
      </c>
      <c r="U2" s="179">
        <v>43279</v>
      </c>
      <c r="V2" s="179">
        <v>43272</v>
      </c>
      <c r="W2" s="179">
        <v>43265</v>
      </c>
      <c r="X2" s="179">
        <v>43258</v>
      </c>
      <c r="Y2" s="402" t="s">
        <v>239</v>
      </c>
      <c r="Z2" s="402" t="s">
        <v>238</v>
      </c>
      <c r="AA2" s="179">
        <v>43251</v>
      </c>
      <c r="AB2" s="179">
        <v>43244</v>
      </c>
      <c r="AC2" s="179">
        <v>43237</v>
      </c>
      <c r="AD2" s="179">
        <v>43230</v>
      </c>
      <c r="AE2" s="179">
        <v>43223</v>
      </c>
      <c r="AF2" s="179">
        <v>43216</v>
      </c>
      <c r="AG2" s="179">
        <v>43209</v>
      </c>
      <c r="AH2" s="179">
        <v>43202</v>
      </c>
      <c r="AI2" s="179">
        <v>43195</v>
      </c>
      <c r="AJ2" s="193" t="s">
        <v>59</v>
      </c>
      <c r="AK2" s="193" t="s">
        <v>60</v>
      </c>
      <c r="AL2" s="31" t="s">
        <v>61</v>
      </c>
    </row>
    <row r="3" spans="1:40" x14ac:dyDescent="0.2">
      <c r="B3" s="132" t="s">
        <v>31</v>
      </c>
      <c r="C3" s="133">
        <f>SUM(D3:AI3)</f>
        <v>121</v>
      </c>
      <c r="D3" s="389">
        <v>10</v>
      </c>
      <c r="E3" s="389">
        <v>8</v>
      </c>
      <c r="F3" s="389">
        <v>2</v>
      </c>
      <c r="G3" s="392">
        <v>8</v>
      </c>
      <c r="H3" s="389"/>
      <c r="I3" s="390">
        <v>1</v>
      </c>
      <c r="J3" s="390">
        <v>6</v>
      </c>
      <c r="K3" s="430" t="s">
        <v>303</v>
      </c>
      <c r="L3" s="390"/>
      <c r="M3" s="390"/>
      <c r="N3" s="389"/>
      <c r="O3" s="430" t="s">
        <v>303</v>
      </c>
      <c r="P3" s="389">
        <v>8</v>
      </c>
      <c r="Q3" s="389">
        <v>5</v>
      </c>
      <c r="R3" s="389"/>
      <c r="S3" s="390">
        <v>8</v>
      </c>
      <c r="T3" s="389"/>
      <c r="U3" s="389"/>
      <c r="V3" s="389">
        <v>8</v>
      </c>
      <c r="W3" s="389">
        <v>10</v>
      </c>
      <c r="X3" s="390"/>
      <c r="Y3" s="390">
        <v>4</v>
      </c>
      <c r="Z3" s="390">
        <v>5</v>
      </c>
      <c r="AA3" s="389">
        <v>6</v>
      </c>
      <c r="AB3" s="390">
        <v>8</v>
      </c>
      <c r="AC3" s="389">
        <v>10</v>
      </c>
      <c r="AD3" s="389"/>
      <c r="AE3" s="390">
        <v>6</v>
      </c>
      <c r="AF3" s="390">
        <v>8</v>
      </c>
      <c r="AG3" s="389"/>
      <c r="AH3" s="392"/>
      <c r="AI3" s="389"/>
      <c r="AJ3" s="128">
        <f>COUNTIF(D3:AI3,"&gt;0")</f>
        <v>18</v>
      </c>
      <c r="AK3" s="128">
        <f>SMALL(D3:AI3,1)</f>
        <v>1</v>
      </c>
      <c r="AL3" s="129">
        <f>COUNTIF(D3:AI3,"=10")</f>
        <v>3</v>
      </c>
      <c r="AM3" s="24"/>
      <c r="AN3" s="37" t="str">
        <f>IF(AJ3&gt;18,"OBS"," ")</f>
        <v xml:space="preserve"> </v>
      </c>
    </row>
    <row r="4" spans="1:40" s="23" customFormat="1" x14ac:dyDescent="0.2">
      <c r="A4" s="14"/>
      <c r="B4" s="134" t="s">
        <v>35</v>
      </c>
      <c r="C4" s="135">
        <f>SUM(D4:AI4)</f>
        <v>102</v>
      </c>
      <c r="D4" s="389">
        <v>1</v>
      </c>
      <c r="E4" s="389">
        <v>1</v>
      </c>
      <c r="F4" s="389"/>
      <c r="G4" s="392">
        <v>1</v>
      </c>
      <c r="H4" s="389"/>
      <c r="I4" s="389">
        <v>10</v>
      </c>
      <c r="J4" s="389">
        <v>2</v>
      </c>
      <c r="K4" s="389">
        <v>4</v>
      </c>
      <c r="L4" s="389">
        <v>10</v>
      </c>
      <c r="M4" s="389"/>
      <c r="N4" s="389">
        <v>8</v>
      </c>
      <c r="O4" s="389"/>
      <c r="P4" s="389">
        <v>1</v>
      </c>
      <c r="Q4" s="430" t="s">
        <v>303</v>
      </c>
      <c r="R4" s="389">
        <v>10</v>
      </c>
      <c r="S4" s="389"/>
      <c r="T4" s="389"/>
      <c r="U4" s="389">
        <v>10</v>
      </c>
      <c r="V4" s="389">
        <v>3</v>
      </c>
      <c r="W4" s="389">
        <v>6</v>
      </c>
      <c r="X4" s="389"/>
      <c r="Y4" s="389"/>
      <c r="Z4" s="389"/>
      <c r="AA4" s="389">
        <v>10</v>
      </c>
      <c r="AB4" s="389">
        <v>10</v>
      </c>
      <c r="AC4" s="389">
        <v>8</v>
      </c>
      <c r="AD4" s="390"/>
      <c r="AE4" s="389">
        <v>4</v>
      </c>
      <c r="AF4" s="390">
        <v>3</v>
      </c>
      <c r="AG4" s="389"/>
      <c r="AH4" s="392"/>
      <c r="AI4" s="389"/>
      <c r="AJ4" s="128">
        <f>COUNTIF(D4:AI4,"&gt;0")</f>
        <v>18</v>
      </c>
      <c r="AK4" s="128">
        <f>SMALL(D4:AI4,1)</f>
        <v>1</v>
      </c>
      <c r="AL4" s="129">
        <f>COUNTIF(D4:AI4,"=10")</f>
        <v>6</v>
      </c>
      <c r="AM4" s="14"/>
      <c r="AN4" s="37" t="str">
        <f>IF(AJ4&gt;18,"OBS"," ")</f>
        <v xml:space="preserve"> </v>
      </c>
    </row>
    <row r="5" spans="1:40" x14ac:dyDescent="0.2">
      <c r="B5" s="136" t="s">
        <v>43</v>
      </c>
      <c r="C5" s="137">
        <f>SUM(D5:AI5)</f>
        <v>102</v>
      </c>
      <c r="D5" s="389"/>
      <c r="E5" s="389"/>
      <c r="F5" s="389">
        <v>10</v>
      </c>
      <c r="G5" s="392">
        <v>10</v>
      </c>
      <c r="H5" s="389">
        <v>8</v>
      </c>
      <c r="I5" s="389"/>
      <c r="J5" s="389"/>
      <c r="K5" s="389">
        <v>3</v>
      </c>
      <c r="L5" s="389">
        <v>4</v>
      </c>
      <c r="M5" s="389">
        <v>10</v>
      </c>
      <c r="N5" s="389">
        <v>3</v>
      </c>
      <c r="O5" s="389"/>
      <c r="P5" s="389">
        <v>6</v>
      </c>
      <c r="Q5" s="390"/>
      <c r="R5" s="389">
        <v>4</v>
      </c>
      <c r="S5" s="389">
        <v>4</v>
      </c>
      <c r="T5" s="389">
        <v>2</v>
      </c>
      <c r="U5" s="389">
        <v>5</v>
      </c>
      <c r="V5" s="389">
        <v>1</v>
      </c>
      <c r="W5" s="389"/>
      <c r="X5" s="389"/>
      <c r="Y5" s="389"/>
      <c r="Z5" s="389">
        <v>10</v>
      </c>
      <c r="AA5" s="389"/>
      <c r="AB5" s="389"/>
      <c r="AC5" s="389"/>
      <c r="AD5" s="389">
        <v>5</v>
      </c>
      <c r="AE5" s="389">
        <v>1</v>
      </c>
      <c r="AF5" s="389"/>
      <c r="AG5" s="389"/>
      <c r="AH5" s="391">
        <v>6</v>
      </c>
      <c r="AI5" s="389">
        <v>10</v>
      </c>
      <c r="AJ5" s="128">
        <f>COUNTIF(D5:AI5,"&gt;0")</f>
        <v>18</v>
      </c>
      <c r="AK5" s="128">
        <f>SMALL(D5:AI5,1)</f>
        <v>1</v>
      </c>
      <c r="AL5" s="129">
        <f>COUNTIF(D5:AI5,"=10")</f>
        <v>5</v>
      </c>
      <c r="AN5" s="37" t="str">
        <f>IF(AJ5&gt;18,"OBS"," ")</f>
        <v xml:space="preserve"> </v>
      </c>
    </row>
    <row r="6" spans="1:40" x14ac:dyDescent="0.2">
      <c r="B6" s="127" t="s">
        <v>19</v>
      </c>
      <c r="C6" s="130">
        <f>SUM(D6:AI6)</f>
        <v>83</v>
      </c>
      <c r="D6" s="389"/>
      <c r="E6" s="389">
        <v>5</v>
      </c>
      <c r="F6" s="389">
        <v>3</v>
      </c>
      <c r="G6" s="392"/>
      <c r="H6" s="389">
        <v>5</v>
      </c>
      <c r="I6" s="389">
        <v>2</v>
      </c>
      <c r="J6" s="430" t="s">
        <v>303</v>
      </c>
      <c r="K6" s="389">
        <v>5</v>
      </c>
      <c r="L6" s="389">
        <v>3</v>
      </c>
      <c r="M6" s="389">
        <v>5</v>
      </c>
      <c r="N6" s="389"/>
      <c r="O6" s="389">
        <v>4</v>
      </c>
      <c r="P6" s="389">
        <v>10</v>
      </c>
      <c r="Q6" s="389"/>
      <c r="R6" s="389">
        <v>5</v>
      </c>
      <c r="S6" s="389"/>
      <c r="T6" s="389"/>
      <c r="U6" s="389"/>
      <c r="V6" s="390">
        <v>6</v>
      </c>
      <c r="W6" s="390"/>
      <c r="X6" s="389">
        <v>6</v>
      </c>
      <c r="Y6" s="389">
        <v>2</v>
      </c>
      <c r="Z6" s="389"/>
      <c r="AA6" s="389">
        <v>8</v>
      </c>
      <c r="AB6" s="389"/>
      <c r="AC6" s="430" t="s">
        <v>303</v>
      </c>
      <c r="AD6" s="389"/>
      <c r="AE6" s="390">
        <v>3</v>
      </c>
      <c r="AF6" s="389"/>
      <c r="AG6" s="389">
        <v>2</v>
      </c>
      <c r="AH6" s="392">
        <v>4</v>
      </c>
      <c r="AI6" s="389">
        <v>5</v>
      </c>
      <c r="AJ6" s="128">
        <f>COUNTIF(D6:AI6,"&gt;0")</f>
        <v>18</v>
      </c>
      <c r="AK6" s="128">
        <f>SMALL(D6:AI6,1)</f>
        <v>2</v>
      </c>
      <c r="AL6" s="129">
        <f>COUNTIF(D6:AI6,"=10")</f>
        <v>1</v>
      </c>
      <c r="AN6" s="37" t="str">
        <f>IF(AJ6&gt;18,"OBS"," ")</f>
        <v xml:space="preserve"> </v>
      </c>
    </row>
    <row r="7" spans="1:40" x14ac:dyDescent="0.2">
      <c r="B7" s="13" t="s">
        <v>29</v>
      </c>
      <c r="C7" s="131">
        <f>SUM(D7:AI7)</f>
        <v>80</v>
      </c>
      <c r="D7" s="389"/>
      <c r="E7" s="390">
        <v>6</v>
      </c>
      <c r="F7" s="390"/>
      <c r="G7" s="391">
        <v>5</v>
      </c>
      <c r="H7" s="390"/>
      <c r="I7" s="390"/>
      <c r="J7" s="389"/>
      <c r="K7" s="389"/>
      <c r="L7" s="390">
        <v>6</v>
      </c>
      <c r="M7" s="389"/>
      <c r="N7" s="390"/>
      <c r="O7" s="390">
        <v>5</v>
      </c>
      <c r="P7" s="389">
        <v>5</v>
      </c>
      <c r="Q7" s="389">
        <v>4</v>
      </c>
      <c r="R7" s="389">
        <v>2</v>
      </c>
      <c r="S7" s="389"/>
      <c r="T7" s="390">
        <v>6</v>
      </c>
      <c r="U7" s="390">
        <v>4</v>
      </c>
      <c r="V7" s="390">
        <v>10</v>
      </c>
      <c r="W7" s="390"/>
      <c r="X7" s="390"/>
      <c r="Y7" s="390">
        <v>6</v>
      </c>
      <c r="Z7" s="390"/>
      <c r="AA7" s="390">
        <v>4</v>
      </c>
      <c r="AB7" s="389"/>
      <c r="AC7" s="390">
        <v>6</v>
      </c>
      <c r="AD7" s="390"/>
      <c r="AE7" s="390"/>
      <c r="AF7" s="390">
        <v>5</v>
      </c>
      <c r="AG7" s="389"/>
      <c r="AH7" s="392"/>
      <c r="AI7" s="389">
        <v>6</v>
      </c>
      <c r="AJ7" s="128">
        <f>COUNTIF(D7:AI7,"&gt;0")</f>
        <v>15</v>
      </c>
      <c r="AK7" s="128">
        <f>SMALL(D7:AI7,1)</f>
        <v>2</v>
      </c>
      <c r="AL7" s="129">
        <f>COUNTIF(D7:AI7,"=10")</f>
        <v>1</v>
      </c>
      <c r="AN7" s="37" t="str">
        <f>IF(AJ7&gt;18,"OBS"," ")</f>
        <v xml:space="preserve"> </v>
      </c>
    </row>
    <row r="8" spans="1:40" x14ac:dyDescent="0.2">
      <c r="B8" s="13" t="s">
        <v>11</v>
      </c>
      <c r="C8" s="131">
        <f>SUM(D8:AI8)</f>
        <v>76</v>
      </c>
      <c r="D8" s="389"/>
      <c r="E8" s="389"/>
      <c r="F8" s="389"/>
      <c r="G8" s="392"/>
      <c r="H8" s="389"/>
      <c r="I8" s="389">
        <v>8</v>
      </c>
      <c r="J8" s="389">
        <v>8</v>
      </c>
      <c r="K8" s="389"/>
      <c r="L8" s="389"/>
      <c r="M8" s="389">
        <v>10</v>
      </c>
      <c r="N8" s="389">
        <v>1</v>
      </c>
      <c r="O8" s="389"/>
      <c r="P8" s="389"/>
      <c r="Q8" s="389">
        <v>2</v>
      </c>
      <c r="R8" s="389"/>
      <c r="S8" s="389"/>
      <c r="T8" s="389">
        <v>3</v>
      </c>
      <c r="U8" s="389">
        <v>6</v>
      </c>
      <c r="V8" s="389">
        <v>2</v>
      </c>
      <c r="W8" s="389">
        <v>8</v>
      </c>
      <c r="X8" s="389">
        <v>10</v>
      </c>
      <c r="Y8" s="389">
        <v>10</v>
      </c>
      <c r="Z8" s="389"/>
      <c r="AA8" s="389"/>
      <c r="AB8" s="389"/>
      <c r="AC8" s="389"/>
      <c r="AD8" s="389">
        <v>3</v>
      </c>
      <c r="AE8" s="389"/>
      <c r="AF8" s="389">
        <v>4</v>
      </c>
      <c r="AG8" s="389"/>
      <c r="AH8" s="392"/>
      <c r="AI8" s="389">
        <v>1</v>
      </c>
      <c r="AJ8" s="128">
        <f>COUNTIF(D8:AI8,"&gt;0")</f>
        <v>14</v>
      </c>
      <c r="AK8" s="128">
        <f>SMALL(D8:AI8,1)</f>
        <v>1</v>
      </c>
      <c r="AL8" s="129">
        <f>COUNTIF(D8:AI8,"=10")</f>
        <v>3</v>
      </c>
      <c r="AN8" s="37" t="str">
        <f>IF(AJ8&gt;18,"OBS"," ")</f>
        <v xml:space="preserve"> </v>
      </c>
    </row>
    <row r="9" spans="1:40" x14ac:dyDescent="0.2">
      <c r="B9" s="13" t="s">
        <v>49</v>
      </c>
      <c r="C9" s="131">
        <f>SUM(D9:AI9)</f>
        <v>76</v>
      </c>
      <c r="D9" s="390"/>
      <c r="E9" s="389"/>
      <c r="F9" s="389"/>
      <c r="G9" s="392">
        <v>4</v>
      </c>
      <c r="H9" s="390">
        <v>10</v>
      </c>
      <c r="I9" s="389">
        <v>4</v>
      </c>
      <c r="J9" s="389">
        <v>10</v>
      </c>
      <c r="K9" s="389"/>
      <c r="L9" s="389"/>
      <c r="M9" s="389"/>
      <c r="N9" s="389">
        <v>4</v>
      </c>
      <c r="O9" s="389">
        <v>6</v>
      </c>
      <c r="P9" s="389"/>
      <c r="Q9" s="389"/>
      <c r="R9" s="389">
        <v>8</v>
      </c>
      <c r="S9" s="390"/>
      <c r="T9" s="389"/>
      <c r="U9" s="389"/>
      <c r="V9" s="389"/>
      <c r="W9" s="389">
        <v>5</v>
      </c>
      <c r="X9" s="389"/>
      <c r="Y9" s="389">
        <v>8</v>
      </c>
      <c r="Z9" s="389"/>
      <c r="AA9" s="389"/>
      <c r="AB9" s="389"/>
      <c r="AC9" s="389"/>
      <c r="AD9" s="389"/>
      <c r="AE9" s="389">
        <v>2</v>
      </c>
      <c r="AF9" s="389">
        <v>10</v>
      </c>
      <c r="AG9" s="389"/>
      <c r="AH9" s="392">
        <v>5</v>
      </c>
      <c r="AI9" s="389"/>
      <c r="AJ9" s="128">
        <f>COUNTIF(D9:AI9,"&gt;0")</f>
        <v>12</v>
      </c>
      <c r="AK9" s="128">
        <f>SMALL(D9:AI9,1)</f>
        <v>2</v>
      </c>
      <c r="AL9" s="129">
        <f>COUNTIF(D9:AI9,"=10")</f>
        <v>3</v>
      </c>
      <c r="AM9" s="24"/>
      <c r="AN9" s="37" t="str">
        <f>IF(AJ9&gt;18,"OBS"," ")</f>
        <v xml:space="preserve"> </v>
      </c>
    </row>
    <row r="10" spans="1:40" x14ac:dyDescent="0.2">
      <c r="B10" s="13" t="s">
        <v>39</v>
      </c>
      <c r="C10" s="131">
        <f>SUM(D10:AI10)</f>
        <v>65</v>
      </c>
      <c r="D10" s="390">
        <v>8</v>
      </c>
      <c r="E10" s="389"/>
      <c r="F10" s="389"/>
      <c r="G10" s="392">
        <v>2</v>
      </c>
      <c r="H10" s="389">
        <v>2</v>
      </c>
      <c r="I10" s="390">
        <v>6</v>
      </c>
      <c r="J10" s="389">
        <v>5</v>
      </c>
      <c r="K10" s="389">
        <v>10</v>
      </c>
      <c r="L10" s="389">
        <v>2</v>
      </c>
      <c r="M10" s="389"/>
      <c r="N10" s="389"/>
      <c r="O10" s="390"/>
      <c r="P10" s="390"/>
      <c r="Q10" s="390"/>
      <c r="R10" s="389"/>
      <c r="S10" s="389">
        <v>5</v>
      </c>
      <c r="T10" s="389"/>
      <c r="U10" s="389"/>
      <c r="V10" s="389"/>
      <c r="W10" s="389">
        <v>3</v>
      </c>
      <c r="X10" s="389"/>
      <c r="Y10" s="389"/>
      <c r="Z10" s="389">
        <v>10</v>
      </c>
      <c r="AA10" s="389"/>
      <c r="AB10" s="389">
        <v>4</v>
      </c>
      <c r="AC10" s="390">
        <v>4</v>
      </c>
      <c r="AD10" s="389"/>
      <c r="AE10" s="390"/>
      <c r="AF10" s="389">
        <v>1</v>
      </c>
      <c r="AG10" s="389"/>
      <c r="AH10" s="391">
        <v>3</v>
      </c>
      <c r="AI10" s="390"/>
      <c r="AJ10" s="128">
        <f>COUNTIF(D10:AI10,"&gt;0")</f>
        <v>14</v>
      </c>
      <c r="AK10" s="128">
        <f>SMALL(D10:AI10,1)</f>
        <v>1</v>
      </c>
      <c r="AL10" s="129">
        <f>COUNTIF(D10:AI10,"=10")</f>
        <v>2</v>
      </c>
      <c r="AN10" s="37" t="str">
        <f>IF(AJ10&gt;18,"OBS"," ")</f>
        <v xml:space="preserve"> </v>
      </c>
    </row>
    <row r="11" spans="1:40" x14ac:dyDescent="0.2">
      <c r="B11" s="13" t="s">
        <v>15</v>
      </c>
      <c r="C11" s="131">
        <f>SUM(D11:AI11)</f>
        <v>63</v>
      </c>
      <c r="D11" s="389"/>
      <c r="E11" s="389"/>
      <c r="F11" s="389"/>
      <c r="G11" s="392"/>
      <c r="H11" s="389"/>
      <c r="I11" s="389">
        <v>5</v>
      </c>
      <c r="J11" s="389">
        <v>3</v>
      </c>
      <c r="K11" s="389"/>
      <c r="L11" s="389"/>
      <c r="M11" s="389">
        <v>5</v>
      </c>
      <c r="N11" s="389">
        <v>2</v>
      </c>
      <c r="O11" s="389"/>
      <c r="P11" s="389"/>
      <c r="Q11" s="389">
        <v>10</v>
      </c>
      <c r="R11" s="389">
        <v>6</v>
      </c>
      <c r="S11" s="389"/>
      <c r="T11" s="389"/>
      <c r="U11" s="389"/>
      <c r="V11" s="389">
        <v>5</v>
      </c>
      <c r="W11" s="389"/>
      <c r="X11" s="389">
        <v>3</v>
      </c>
      <c r="Y11" s="389"/>
      <c r="Z11" s="389">
        <v>10</v>
      </c>
      <c r="AA11" s="389">
        <v>2</v>
      </c>
      <c r="AB11" s="389"/>
      <c r="AC11" s="389">
        <v>2</v>
      </c>
      <c r="AD11" s="389">
        <v>6</v>
      </c>
      <c r="AE11" s="389"/>
      <c r="AF11" s="389"/>
      <c r="AG11" s="389">
        <v>4</v>
      </c>
      <c r="AH11" s="392"/>
      <c r="AI11" s="389"/>
      <c r="AJ11" s="128">
        <f>COUNTIF(D11:AI11,"&gt;0")</f>
        <v>13</v>
      </c>
      <c r="AK11" s="128">
        <f>SMALL(D11:AI11,1)</f>
        <v>2</v>
      </c>
      <c r="AL11" s="129">
        <f>COUNTIF(D11:AI11,"=10")</f>
        <v>2</v>
      </c>
      <c r="AN11" s="37" t="str">
        <f>IF(AJ11&gt;18,"OBS"," ")</f>
        <v xml:space="preserve"> </v>
      </c>
    </row>
    <row r="12" spans="1:40" x14ac:dyDescent="0.2">
      <c r="B12" s="13" t="s">
        <v>41</v>
      </c>
      <c r="C12" s="131">
        <f>SUM(D12:AI12)</f>
        <v>62</v>
      </c>
      <c r="D12" s="389"/>
      <c r="E12" s="389">
        <v>10</v>
      </c>
      <c r="F12" s="389">
        <v>4</v>
      </c>
      <c r="G12" s="392"/>
      <c r="H12" s="389">
        <v>6</v>
      </c>
      <c r="I12" s="389"/>
      <c r="J12" s="389"/>
      <c r="K12" s="389"/>
      <c r="L12" s="389"/>
      <c r="M12" s="389"/>
      <c r="N12" s="389">
        <v>5</v>
      </c>
      <c r="O12" s="389"/>
      <c r="P12" s="389"/>
      <c r="Q12" s="389"/>
      <c r="R12" s="389"/>
      <c r="S12" s="389"/>
      <c r="T12" s="390"/>
      <c r="U12" s="389"/>
      <c r="V12" s="389"/>
      <c r="W12" s="389"/>
      <c r="X12" s="389">
        <v>5</v>
      </c>
      <c r="Y12" s="389">
        <v>3</v>
      </c>
      <c r="Z12" s="389">
        <v>10</v>
      </c>
      <c r="AA12" s="389"/>
      <c r="AB12" s="389">
        <v>6</v>
      </c>
      <c r="AC12" s="389"/>
      <c r="AD12" s="389"/>
      <c r="AE12" s="390"/>
      <c r="AF12" s="389"/>
      <c r="AG12" s="389">
        <v>5</v>
      </c>
      <c r="AH12" s="392">
        <v>8</v>
      </c>
      <c r="AI12" s="389"/>
      <c r="AJ12" s="128">
        <f>COUNTIF(D12:AI12,"&gt;0")</f>
        <v>10</v>
      </c>
      <c r="AK12" s="128">
        <f>SMALL(D12:AI12,1)</f>
        <v>3</v>
      </c>
      <c r="AL12" s="129">
        <f>COUNTIF(D12:AI12,"=10")</f>
        <v>2</v>
      </c>
      <c r="AN12" s="37" t="str">
        <f>IF(AJ12&gt;18,"OBS"," ")</f>
        <v xml:space="preserve"> </v>
      </c>
    </row>
    <row r="13" spans="1:40" x14ac:dyDescent="0.2">
      <c r="B13" s="13" t="s">
        <v>148</v>
      </c>
      <c r="C13" s="131">
        <f>SUM(D13:AI13)</f>
        <v>56</v>
      </c>
      <c r="D13" s="389"/>
      <c r="E13" s="389"/>
      <c r="F13" s="389">
        <v>1</v>
      </c>
      <c r="G13" s="392">
        <v>3</v>
      </c>
      <c r="H13" s="389"/>
      <c r="I13" s="389"/>
      <c r="J13" s="389"/>
      <c r="K13" s="389"/>
      <c r="L13" s="389">
        <v>8</v>
      </c>
      <c r="M13" s="389">
        <v>5</v>
      </c>
      <c r="N13" s="389"/>
      <c r="O13" s="389"/>
      <c r="P13" s="389">
        <v>4</v>
      </c>
      <c r="Q13" s="389">
        <v>6</v>
      </c>
      <c r="R13" s="389"/>
      <c r="S13" s="389"/>
      <c r="T13" s="389"/>
      <c r="U13" s="389"/>
      <c r="V13" s="389"/>
      <c r="W13" s="389"/>
      <c r="X13" s="389">
        <v>8</v>
      </c>
      <c r="Y13" s="389"/>
      <c r="Z13" s="389"/>
      <c r="AA13" s="389">
        <v>3</v>
      </c>
      <c r="AB13" s="389"/>
      <c r="AC13" s="389"/>
      <c r="AD13" s="389">
        <v>4</v>
      </c>
      <c r="AE13" s="389">
        <v>8</v>
      </c>
      <c r="AF13" s="389">
        <v>2</v>
      </c>
      <c r="AG13" s="389"/>
      <c r="AH13" s="392"/>
      <c r="AI13" s="389">
        <v>4</v>
      </c>
      <c r="AJ13" s="128">
        <f>COUNTIF(D13:AI13,"&gt;0")</f>
        <v>12</v>
      </c>
      <c r="AK13" s="128">
        <f>SMALL(D13:AI13,1)</f>
        <v>1</v>
      </c>
      <c r="AL13" s="129">
        <f>COUNTIF(D13:AI13,"=10")</f>
        <v>0</v>
      </c>
      <c r="AN13" s="37" t="str">
        <f>IF(AJ13&gt;18,"OBS"," ")</f>
        <v xml:space="preserve"> </v>
      </c>
    </row>
    <row r="14" spans="1:40" s="24" customFormat="1" x14ac:dyDescent="0.2">
      <c r="B14" s="13" t="s">
        <v>33</v>
      </c>
      <c r="C14" s="131">
        <f>SUM(D14:AI14)</f>
        <v>43</v>
      </c>
      <c r="D14" s="390"/>
      <c r="E14" s="389"/>
      <c r="F14" s="389"/>
      <c r="G14" s="392">
        <v>6</v>
      </c>
      <c r="H14" s="389"/>
      <c r="I14" s="389">
        <v>3</v>
      </c>
      <c r="J14" s="389">
        <v>4</v>
      </c>
      <c r="K14" s="389"/>
      <c r="L14" s="389"/>
      <c r="M14" s="389"/>
      <c r="N14" s="389"/>
      <c r="O14" s="389"/>
      <c r="P14" s="390"/>
      <c r="Q14" s="389">
        <v>8</v>
      </c>
      <c r="R14" s="389"/>
      <c r="S14" s="389"/>
      <c r="T14" s="389">
        <v>1</v>
      </c>
      <c r="U14" s="389">
        <v>1</v>
      </c>
      <c r="V14" s="389"/>
      <c r="W14" s="389"/>
      <c r="X14" s="389"/>
      <c r="Y14" s="389"/>
      <c r="Z14" s="389"/>
      <c r="AA14" s="389"/>
      <c r="AB14" s="389"/>
      <c r="AC14" s="389">
        <v>5</v>
      </c>
      <c r="AD14" s="389"/>
      <c r="AE14" s="389">
        <v>5</v>
      </c>
      <c r="AF14" s="389"/>
      <c r="AG14" s="389">
        <v>10</v>
      </c>
      <c r="AH14" s="392"/>
      <c r="AI14" s="389"/>
      <c r="AJ14" s="128">
        <f>COUNTIF(D14:AI14,"&gt;0")</f>
        <v>9</v>
      </c>
      <c r="AK14" s="128">
        <f>SMALL(D14:AI14,1)</f>
        <v>1</v>
      </c>
      <c r="AL14" s="129">
        <f>COUNTIF(D14:AI14,"=10")</f>
        <v>1</v>
      </c>
      <c r="AM14" s="14"/>
      <c r="AN14" s="37" t="str">
        <f>IF(AJ14&gt;18,"OBS"," ")</f>
        <v xml:space="preserve"> </v>
      </c>
    </row>
    <row r="15" spans="1:40" x14ac:dyDescent="0.2">
      <c r="B15" s="13" t="s">
        <v>9</v>
      </c>
      <c r="C15" s="131">
        <f>SUM(D15:AI15)</f>
        <v>43</v>
      </c>
      <c r="D15" s="389"/>
      <c r="E15" s="389">
        <v>4</v>
      </c>
      <c r="F15" s="389"/>
      <c r="G15" s="392"/>
      <c r="H15" s="389"/>
      <c r="I15" s="389"/>
      <c r="J15" s="389"/>
      <c r="K15" s="389"/>
      <c r="L15" s="389"/>
      <c r="M15" s="389"/>
      <c r="N15" s="389"/>
      <c r="O15" s="389">
        <v>10</v>
      </c>
      <c r="P15" s="389"/>
      <c r="Q15" s="389">
        <v>3</v>
      </c>
      <c r="R15" s="389"/>
      <c r="S15" s="389"/>
      <c r="T15" s="389"/>
      <c r="U15" s="389">
        <v>8</v>
      </c>
      <c r="V15" s="389">
        <v>4</v>
      </c>
      <c r="W15" s="389"/>
      <c r="X15" s="389"/>
      <c r="Y15" s="389"/>
      <c r="Z15" s="389"/>
      <c r="AA15" s="389">
        <v>5</v>
      </c>
      <c r="AB15" s="389"/>
      <c r="AC15" s="389">
        <v>3</v>
      </c>
      <c r="AD15" s="389"/>
      <c r="AE15" s="389"/>
      <c r="AF15" s="389"/>
      <c r="AG15" s="389">
        <v>6</v>
      </c>
      <c r="AH15" s="392"/>
      <c r="AI15" s="389"/>
      <c r="AJ15" s="128">
        <f>COUNTIF(D15:AI15,"&gt;0")</f>
        <v>8</v>
      </c>
      <c r="AK15" s="128">
        <f>SMALL(D15:AI15,1)</f>
        <v>3</v>
      </c>
      <c r="AL15" s="129">
        <f>COUNTIF(D15:AI15,"=10")</f>
        <v>1</v>
      </c>
      <c r="AN15" s="37" t="str">
        <f>IF(AJ15&gt;18,"OBS"," ")</f>
        <v xml:space="preserve"> </v>
      </c>
    </row>
    <row r="16" spans="1:40" s="24" customFormat="1" x14ac:dyDescent="0.2">
      <c r="A16" s="14"/>
      <c r="B16" s="13" t="s">
        <v>47</v>
      </c>
      <c r="C16" s="131">
        <f>SUM(D16:AI16)</f>
        <v>39</v>
      </c>
      <c r="D16" s="389"/>
      <c r="E16" s="389"/>
      <c r="F16" s="389">
        <v>8</v>
      </c>
      <c r="G16" s="392"/>
      <c r="H16" s="389">
        <v>1</v>
      </c>
      <c r="I16" s="389"/>
      <c r="J16" s="389"/>
      <c r="K16" s="389"/>
      <c r="L16" s="389"/>
      <c r="M16" s="389"/>
      <c r="N16" s="389"/>
      <c r="O16" s="389">
        <v>8</v>
      </c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>
        <v>6</v>
      </c>
      <c r="AG16" s="389">
        <v>8</v>
      </c>
      <c r="AH16" s="392"/>
      <c r="AI16" s="389">
        <v>8</v>
      </c>
      <c r="AJ16" s="128">
        <f>COUNTIF(D16:AI16,"&gt;0")</f>
        <v>6</v>
      </c>
      <c r="AK16" s="128">
        <f>SMALL(D16:AI16,1)</f>
        <v>1</v>
      </c>
      <c r="AL16" s="129">
        <f>COUNTIF(D16:AI16,"=10")</f>
        <v>0</v>
      </c>
      <c r="AM16" s="14"/>
      <c r="AN16" s="37" t="str">
        <f>IF(AJ16&gt;18,"OBS"," ")</f>
        <v xml:space="preserve"> </v>
      </c>
    </row>
    <row r="17" spans="1:40" x14ac:dyDescent="0.2">
      <c r="A17" s="24"/>
      <c r="B17" s="13" t="s">
        <v>13</v>
      </c>
      <c r="C17" s="131">
        <f>SUM(D17:AI17)</f>
        <v>37</v>
      </c>
      <c r="D17" s="389"/>
      <c r="E17" s="389"/>
      <c r="F17" s="389"/>
      <c r="G17" s="392"/>
      <c r="H17" s="389"/>
      <c r="I17" s="389"/>
      <c r="J17" s="389"/>
      <c r="K17" s="389">
        <v>2</v>
      </c>
      <c r="L17" s="389">
        <v>1</v>
      </c>
      <c r="M17" s="389">
        <v>10</v>
      </c>
      <c r="N17" s="389"/>
      <c r="O17" s="389">
        <v>3</v>
      </c>
      <c r="P17" s="389"/>
      <c r="Q17" s="389"/>
      <c r="R17" s="389"/>
      <c r="S17" s="389"/>
      <c r="T17" s="389">
        <v>8</v>
      </c>
      <c r="U17" s="389"/>
      <c r="V17" s="389"/>
      <c r="W17" s="389"/>
      <c r="X17" s="389">
        <v>1</v>
      </c>
      <c r="Y17" s="389"/>
      <c r="Z17" s="389"/>
      <c r="AA17" s="389"/>
      <c r="AB17" s="389">
        <v>1</v>
      </c>
      <c r="AC17" s="389"/>
      <c r="AD17" s="389"/>
      <c r="AE17" s="389">
        <v>10</v>
      </c>
      <c r="AF17" s="389"/>
      <c r="AG17" s="389">
        <v>1</v>
      </c>
      <c r="AH17" s="392"/>
      <c r="AI17" s="389"/>
      <c r="AJ17" s="128">
        <f>COUNTIF(D17:AI17,"&gt;0")</f>
        <v>9</v>
      </c>
      <c r="AK17" s="128">
        <f>SMALL(D17:AI17,1)</f>
        <v>1</v>
      </c>
      <c r="AL17" s="129">
        <f>COUNTIF(D17:AI17,"=10")</f>
        <v>2</v>
      </c>
      <c r="AN17" s="37" t="str">
        <f>IF(AJ17&gt;18,"OBS"," ")</f>
        <v xml:space="preserve"> </v>
      </c>
    </row>
    <row r="18" spans="1:40" x14ac:dyDescent="0.2">
      <c r="B18" s="13" t="s">
        <v>37</v>
      </c>
      <c r="C18" s="131">
        <f>SUM(D18:AI18)</f>
        <v>36</v>
      </c>
      <c r="D18" s="389"/>
      <c r="E18" s="389">
        <v>2</v>
      </c>
      <c r="F18" s="389"/>
      <c r="G18" s="392"/>
      <c r="H18" s="389"/>
      <c r="I18" s="389"/>
      <c r="J18" s="389"/>
      <c r="K18" s="389"/>
      <c r="L18" s="389"/>
      <c r="M18" s="389"/>
      <c r="N18" s="389">
        <v>10</v>
      </c>
      <c r="O18" s="389"/>
      <c r="P18" s="389">
        <v>3</v>
      </c>
      <c r="Q18" s="389"/>
      <c r="R18" s="389">
        <v>3</v>
      </c>
      <c r="S18" s="389">
        <v>1</v>
      </c>
      <c r="T18" s="389">
        <v>10</v>
      </c>
      <c r="U18" s="389"/>
      <c r="V18" s="389"/>
      <c r="W18" s="389"/>
      <c r="X18" s="389"/>
      <c r="Y18" s="389">
        <v>5</v>
      </c>
      <c r="Z18" s="389"/>
      <c r="AA18" s="389"/>
      <c r="AB18" s="389">
        <v>2</v>
      </c>
      <c r="AC18" s="389"/>
      <c r="AD18" s="389"/>
      <c r="AE18" s="389"/>
      <c r="AF18" s="389"/>
      <c r="AG18" s="389"/>
      <c r="AH18" s="392"/>
      <c r="AI18" s="389"/>
      <c r="AJ18" s="128">
        <f>COUNTIF(D18:AI18,"&gt;0")</f>
        <v>8</v>
      </c>
      <c r="AK18" s="128">
        <f>SMALL(D18:AI18,1)</f>
        <v>1</v>
      </c>
      <c r="AL18" s="129">
        <f>COUNTIF(D18:AI18,"=10")</f>
        <v>2</v>
      </c>
      <c r="AN18" s="37" t="str">
        <f>IF(AJ18&gt;18,"OBS"," ")</f>
        <v xml:space="preserve"> </v>
      </c>
    </row>
    <row r="19" spans="1:40" x14ac:dyDescent="0.2">
      <c r="A19" s="23"/>
      <c r="B19" s="13" t="s">
        <v>25</v>
      </c>
      <c r="C19" s="131">
        <f>SUM(D19:AI19)</f>
        <v>35</v>
      </c>
      <c r="D19" s="389"/>
      <c r="E19" s="389"/>
      <c r="F19" s="389">
        <v>5</v>
      </c>
      <c r="G19" s="392"/>
      <c r="H19" s="389"/>
      <c r="I19" s="389"/>
      <c r="J19" s="389"/>
      <c r="K19" s="389">
        <v>6</v>
      </c>
      <c r="L19" s="389"/>
      <c r="M19" s="389"/>
      <c r="N19" s="389"/>
      <c r="O19" s="389"/>
      <c r="P19" s="389"/>
      <c r="Q19" s="389"/>
      <c r="R19" s="389"/>
      <c r="S19" s="389">
        <v>10</v>
      </c>
      <c r="T19" s="389"/>
      <c r="U19" s="389">
        <v>2</v>
      </c>
      <c r="V19" s="389"/>
      <c r="W19" s="389"/>
      <c r="X19" s="389"/>
      <c r="Y19" s="389"/>
      <c r="Z19" s="389"/>
      <c r="AA19" s="389"/>
      <c r="AB19" s="389"/>
      <c r="AC19" s="389"/>
      <c r="AD19" s="389">
        <v>10</v>
      </c>
      <c r="AE19" s="389"/>
      <c r="AF19" s="389"/>
      <c r="AG19" s="389"/>
      <c r="AH19" s="392"/>
      <c r="AI19" s="389">
        <v>2</v>
      </c>
      <c r="AJ19" s="128">
        <f>COUNTIF(D19:AI19,"&gt;0")</f>
        <v>6</v>
      </c>
      <c r="AK19" s="128">
        <f>SMALL(D19:AI19,1)</f>
        <v>2</v>
      </c>
      <c r="AL19" s="129">
        <f>COUNTIF(D19:AI19,"=10")</f>
        <v>2</v>
      </c>
      <c r="AM19" s="23"/>
      <c r="AN19" s="37" t="str">
        <f>IF(AJ19&gt;18,"OBS"," ")</f>
        <v xml:space="preserve"> </v>
      </c>
    </row>
    <row r="20" spans="1:40" x14ac:dyDescent="0.2">
      <c r="B20" s="13" t="s">
        <v>17</v>
      </c>
      <c r="C20" s="131">
        <f>SUM(D20:AI20)</f>
        <v>34</v>
      </c>
      <c r="D20" s="389"/>
      <c r="E20" s="389"/>
      <c r="F20" s="389"/>
      <c r="G20" s="392"/>
      <c r="H20" s="389"/>
      <c r="I20" s="389"/>
      <c r="J20" s="389"/>
      <c r="K20" s="389"/>
      <c r="L20" s="389"/>
      <c r="M20" s="389">
        <v>10</v>
      </c>
      <c r="N20" s="389"/>
      <c r="O20" s="389">
        <v>2</v>
      </c>
      <c r="P20" s="389"/>
      <c r="Q20" s="389"/>
      <c r="R20" s="389"/>
      <c r="S20" s="389"/>
      <c r="T20" s="389">
        <v>4</v>
      </c>
      <c r="U20" s="389"/>
      <c r="V20" s="389"/>
      <c r="W20" s="389">
        <v>2</v>
      </c>
      <c r="X20" s="389"/>
      <c r="Y20" s="389">
        <v>1</v>
      </c>
      <c r="Z20" s="389">
        <v>5</v>
      </c>
      <c r="AA20" s="389"/>
      <c r="AB20" s="389"/>
      <c r="AC20" s="389"/>
      <c r="AD20" s="389"/>
      <c r="AE20" s="389"/>
      <c r="AF20" s="389"/>
      <c r="AG20" s="389"/>
      <c r="AH20" s="392">
        <v>10</v>
      </c>
      <c r="AI20" s="389"/>
      <c r="AJ20" s="128">
        <f>COUNTIF(D20:AI20,"&gt;0")</f>
        <v>7</v>
      </c>
      <c r="AK20" s="128">
        <f>SMALL(D20:AI20,1)</f>
        <v>1</v>
      </c>
      <c r="AL20" s="129">
        <f>COUNTIF(D20:AI20,"=10")</f>
        <v>2</v>
      </c>
      <c r="AN20" s="37" t="str">
        <f>IF(AJ20&gt;18,"OBS"," ")</f>
        <v xml:space="preserve"> </v>
      </c>
    </row>
    <row r="21" spans="1:40" x14ac:dyDescent="0.2">
      <c r="B21" s="13" t="s">
        <v>45</v>
      </c>
      <c r="C21" s="131">
        <f>SUM(D21:AI21)</f>
        <v>29</v>
      </c>
      <c r="D21" s="389"/>
      <c r="E21" s="389"/>
      <c r="F21" s="389">
        <v>6</v>
      </c>
      <c r="G21" s="392"/>
      <c r="H21" s="389">
        <v>4</v>
      </c>
      <c r="I21" s="389"/>
      <c r="J21" s="389"/>
      <c r="K21" s="389"/>
      <c r="L21" s="389">
        <v>5</v>
      </c>
      <c r="M21" s="389"/>
      <c r="N21" s="389">
        <v>6</v>
      </c>
      <c r="O21" s="389"/>
      <c r="P21" s="389"/>
      <c r="Q21" s="389"/>
      <c r="R21" s="389"/>
      <c r="S21" s="389"/>
      <c r="T21" s="389"/>
      <c r="U21" s="389">
        <v>3</v>
      </c>
      <c r="V21" s="389"/>
      <c r="W21" s="389"/>
      <c r="X21" s="389"/>
      <c r="Y21" s="389"/>
      <c r="Z21" s="389"/>
      <c r="AA21" s="389"/>
      <c r="AB21" s="389">
        <v>3</v>
      </c>
      <c r="AC21" s="389"/>
      <c r="AD21" s="389">
        <v>2</v>
      </c>
      <c r="AE21" s="389"/>
      <c r="AF21" s="389"/>
      <c r="AG21" s="389"/>
      <c r="AH21" s="392"/>
      <c r="AI21" s="389"/>
      <c r="AJ21" s="128">
        <f>COUNTIF(D21:AI21,"&gt;0")</f>
        <v>7</v>
      </c>
      <c r="AK21" s="128">
        <f>SMALL(D21:AI21,1)</f>
        <v>2</v>
      </c>
      <c r="AL21" s="129">
        <f>COUNTIF(D21:AI21,"=10")</f>
        <v>0</v>
      </c>
      <c r="AN21" s="37" t="str">
        <f>IF(AJ21&gt;18,"OBS"," ")</f>
        <v xml:space="preserve"> </v>
      </c>
    </row>
    <row r="22" spans="1:40" x14ac:dyDescent="0.2">
      <c r="B22" s="13" t="s">
        <v>27</v>
      </c>
      <c r="C22" s="131">
        <f>SUM(D22:AI22)</f>
        <v>27</v>
      </c>
      <c r="D22" s="389"/>
      <c r="E22" s="389"/>
      <c r="F22" s="389"/>
      <c r="G22" s="392"/>
      <c r="H22" s="389">
        <v>3</v>
      </c>
      <c r="I22" s="389"/>
      <c r="J22" s="389"/>
      <c r="K22" s="389"/>
      <c r="L22" s="389"/>
      <c r="M22" s="389"/>
      <c r="N22" s="389"/>
      <c r="O22" s="389"/>
      <c r="P22" s="389">
        <v>2</v>
      </c>
      <c r="Q22" s="389"/>
      <c r="R22" s="389"/>
      <c r="S22" s="389"/>
      <c r="T22" s="389"/>
      <c r="U22" s="389"/>
      <c r="V22" s="389"/>
      <c r="W22" s="389">
        <v>4</v>
      </c>
      <c r="X22" s="389"/>
      <c r="Y22" s="389"/>
      <c r="Z22" s="389">
        <v>5</v>
      </c>
      <c r="AA22" s="389"/>
      <c r="AB22" s="389"/>
      <c r="AC22" s="389"/>
      <c r="AD22" s="389">
        <v>8</v>
      </c>
      <c r="AE22" s="389"/>
      <c r="AF22" s="389"/>
      <c r="AG22" s="389">
        <v>3</v>
      </c>
      <c r="AH22" s="392">
        <v>2</v>
      </c>
      <c r="AI22" s="389"/>
      <c r="AJ22" s="128">
        <f>COUNTIF(D22:AI22,"&gt;0")</f>
        <v>7</v>
      </c>
      <c r="AK22" s="128">
        <f>SMALL(D22:AI22,1)</f>
        <v>2</v>
      </c>
      <c r="AL22" s="129">
        <f>COUNTIF(D22:AI22,"=10")</f>
        <v>0</v>
      </c>
      <c r="AN22" s="37" t="str">
        <f>IF(AJ22&gt;18,"OBS"," ")</f>
        <v xml:space="preserve"> </v>
      </c>
    </row>
    <row r="23" spans="1:40" x14ac:dyDescent="0.2">
      <c r="B23" s="13" t="s">
        <v>23</v>
      </c>
      <c r="C23" s="131">
        <f>SUM(D23:AI23)</f>
        <v>26</v>
      </c>
      <c r="D23" s="389">
        <v>6</v>
      </c>
      <c r="E23" s="389">
        <v>3</v>
      </c>
      <c r="F23" s="389"/>
      <c r="G23" s="392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>
        <v>6</v>
      </c>
      <c r="T23" s="389"/>
      <c r="U23" s="389"/>
      <c r="V23" s="389"/>
      <c r="W23" s="389"/>
      <c r="X23" s="389">
        <v>2</v>
      </c>
      <c r="Y23" s="389"/>
      <c r="Z23" s="389"/>
      <c r="AA23" s="389"/>
      <c r="AB23" s="389">
        <v>5</v>
      </c>
      <c r="AC23" s="389"/>
      <c r="AD23" s="389"/>
      <c r="AE23" s="389"/>
      <c r="AF23" s="389"/>
      <c r="AG23" s="389"/>
      <c r="AH23" s="392">
        <v>1</v>
      </c>
      <c r="AI23" s="389">
        <v>3</v>
      </c>
      <c r="AJ23" s="128">
        <f>COUNTIF(D23:AI23,"&gt;0")</f>
        <v>7</v>
      </c>
      <c r="AK23" s="128">
        <f>SMALL(D23:AI23,1)</f>
        <v>1</v>
      </c>
      <c r="AL23" s="129">
        <f>COUNTIF(D23:AI23,"=10")</f>
        <v>0</v>
      </c>
      <c r="AN23" s="37" t="str">
        <f>IF(AJ23&gt;18,"OBS"," ")</f>
        <v xml:space="preserve"> </v>
      </c>
    </row>
    <row r="24" spans="1:40" x14ac:dyDescent="0.2">
      <c r="B24" s="13" t="s">
        <v>53</v>
      </c>
      <c r="C24" s="131">
        <f>SUM(D24:AI24)</f>
        <v>19</v>
      </c>
      <c r="D24" s="389"/>
      <c r="E24" s="389"/>
      <c r="F24" s="389"/>
      <c r="G24" s="392"/>
      <c r="H24" s="389"/>
      <c r="I24" s="389"/>
      <c r="J24" s="389"/>
      <c r="K24" s="389">
        <v>8</v>
      </c>
      <c r="L24" s="389"/>
      <c r="M24" s="389"/>
      <c r="N24" s="389"/>
      <c r="O24" s="389"/>
      <c r="P24" s="389"/>
      <c r="Q24" s="389"/>
      <c r="R24" s="389"/>
      <c r="S24" s="389">
        <v>2</v>
      </c>
      <c r="T24" s="389">
        <v>5</v>
      </c>
      <c r="U24" s="389"/>
      <c r="V24" s="389"/>
      <c r="W24" s="389"/>
      <c r="X24" s="389">
        <v>4</v>
      </c>
      <c r="Y24" s="389"/>
      <c r="Z24" s="389"/>
      <c r="AA24" s="389"/>
      <c r="AB24" s="389"/>
      <c r="AC24" s="389"/>
      <c r="AD24" s="389"/>
      <c r="AE24" s="389"/>
      <c r="AF24" s="389"/>
      <c r="AG24" s="389"/>
      <c r="AH24" s="392"/>
      <c r="AI24" s="389"/>
      <c r="AJ24" s="128">
        <f>COUNTIF(D24:AI24,"&gt;0")</f>
        <v>4</v>
      </c>
      <c r="AK24" s="128">
        <f>SMALL(D24:AI24,1)</f>
        <v>2</v>
      </c>
      <c r="AL24" s="129">
        <f>COUNTIF(D24:AI24,"=10")</f>
        <v>0</v>
      </c>
      <c r="AN24" s="37" t="str">
        <f>IF(AJ24&gt;18,"OBS"," ")</f>
        <v xml:space="preserve"> </v>
      </c>
    </row>
    <row r="25" spans="1:40" x14ac:dyDescent="0.2">
      <c r="B25" s="13" t="s">
        <v>181</v>
      </c>
      <c r="C25" s="131">
        <f>SUM(D25:AI25)</f>
        <v>5</v>
      </c>
      <c r="D25" s="390"/>
      <c r="E25" s="389"/>
      <c r="F25" s="389"/>
      <c r="G25" s="392"/>
      <c r="H25" s="389"/>
      <c r="I25" s="390"/>
      <c r="J25" s="389"/>
      <c r="K25" s="389"/>
      <c r="L25" s="389"/>
      <c r="M25" s="389"/>
      <c r="N25" s="389"/>
      <c r="O25" s="390"/>
      <c r="P25" s="390"/>
      <c r="Q25" s="390"/>
      <c r="R25" s="389">
        <v>1</v>
      </c>
      <c r="S25" s="389">
        <v>3</v>
      </c>
      <c r="T25" s="389"/>
      <c r="U25" s="389"/>
      <c r="V25" s="389"/>
      <c r="W25" s="389"/>
      <c r="X25" s="389"/>
      <c r="Y25" s="389"/>
      <c r="Z25" s="389"/>
      <c r="AA25" s="389"/>
      <c r="AB25" s="389"/>
      <c r="AC25" s="390"/>
      <c r="AD25" s="389">
        <v>1</v>
      </c>
      <c r="AE25" s="389"/>
      <c r="AF25" s="389"/>
      <c r="AG25" s="389"/>
      <c r="AH25" s="391"/>
      <c r="AI25" s="390"/>
      <c r="AJ25" s="128">
        <f>COUNTIF(D25:AI25,"&gt;0")</f>
        <v>3</v>
      </c>
      <c r="AK25" s="128">
        <f>SMALL(D25:AI25,1)</f>
        <v>1</v>
      </c>
      <c r="AL25" s="129">
        <f>COUNTIF(D25:AI25,"=10")</f>
        <v>0</v>
      </c>
      <c r="AN25" s="37" t="str">
        <f>IF(AJ25&gt;18,"OBS"," ")</f>
        <v xml:space="preserve"> </v>
      </c>
    </row>
    <row r="26" spans="1:40" x14ac:dyDescent="0.2">
      <c r="B26" s="13" t="s">
        <v>51</v>
      </c>
      <c r="C26" s="131">
        <f>SUM(D26:AI26)</f>
        <v>5</v>
      </c>
      <c r="D26" s="389"/>
      <c r="E26" s="389"/>
      <c r="F26" s="389"/>
      <c r="G26" s="392"/>
      <c r="H26" s="389"/>
      <c r="I26" s="389"/>
      <c r="J26" s="389"/>
      <c r="K26" s="389"/>
      <c r="L26" s="389"/>
      <c r="M26" s="389">
        <v>5</v>
      </c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92"/>
      <c r="AI26" s="389"/>
      <c r="AJ26" s="128">
        <f>COUNTIF(D26:AI26,"&gt;0")</f>
        <v>1</v>
      </c>
      <c r="AK26" s="128">
        <f>SMALL(D26:AI26,1)</f>
        <v>5</v>
      </c>
      <c r="AL26" s="129">
        <f>COUNTIF(D26:AI26,"=10")</f>
        <v>0</v>
      </c>
      <c r="AN26" s="37" t="str">
        <f>IF(AJ26&gt;18,"OBS"," ")</f>
        <v xml:space="preserve"> </v>
      </c>
    </row>
    <row r="27" spans="1:40" x14ac:dyDescent="0.2">
      <c r="B27" s="13" t="s">
        <v>21</v>
      </c>
      <c r="C27" s="131">
        <f>SUM(D27:AI27)</f>
        <v>1</v>
      </c>
      <c r="D27" s="389"/>
      <c r="E27" s="389"/>
      <c r="F27" s="389"/>
      <c r="G27" s="392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>
        <v>1</v>
      </c>
      <c r="AB27" s="389"/>
      <c r="AC27" s="389"/>
      <c r="AD27" s="389"/>
      <c r="AE27" s="389"/>
      <c r="AF27" s="389"/>
      <c r="AG27" s="389"/>
      <c r="AH27" s="392"/>
      <c r="AI27" s="389"/>
      <c r="AJ27" s="128">
        <f>COUNTIF(D27:AI27,"&gt;0")</f>
        <v>1</v>
      </c>
      <c r="AK27" s="128">
        <f>SMALL(D27:AI27,1)</f>
        <v>1</v>
      </c>
      <c r="AL27" s="129">
        <f>COUNTIF(D27:AI27,"=10")</f>
        <v>0</v>
      </c>
      <c r="AN27" s="37" t="str">
        <f>IF(AJ27&gt;18,"OBS"," ")</f>
        <v xml:space="preserve"> </v>
      </c>
    </row>
    <row r="28" spans="1:40" s="34" customFormat="1" ht="16.5" customHeight="1" x14ac:dyDescent="0.15">
      <c r="B28" s="188"/>
      <c r="C28" s="189"/>
      <c r="D28" s="190">
        <f>SUM(D3:D27)</f>
        <v>25</v>
      </c>
      <c r="E28" s="190">
        <f>SUM(E3:E27)</f>
        <v>39</v>
      </c>
      <c r="F28" s="190">
        <f>SUM(F3:F27)</f>
        <v>39</v>
      </c>
      <c r="G28" s="190">
        <f>SUM(G3:G27)</f>
        <v>39</v>
      </c>
      <c r="H28" s="190">
        <f>SUM(H3:H27)</f>
        <v>39</v>
      </c>
      <c r="I28" s="190">
        <f>SUM(I3:I27)</f>
        <v>39</v>
      </c>
      <c r="J28" s="190">
        <f>SUM(J3:J27)</f>
        <v>38</v>
      </c>
      <c r="K28" s="190">
        <f>SUM(K3:K27)</f>
        <v>38</v>
      </c>
      <c r="L28" s="190">
        <f>SUM(L3:L27)</f>
        <v>39</v>
      </c>
      <c r="M28" s="190">
        <f>SUM(M3:M27)</f>
        <v>60</v>
      </c>
      <c r="N28" s="190">
        <f>SUM(N3:N27)</f>
        <v>39</v>
      </c>
      <c r="O28" s="190">
        <f>SUM(O3:O27)</f>
        <v>38</v>
      </c>
      <c r="P28" s="190">
        <f>SUM(P3:P27)</f>
        <v>39</v>
      </c>
      <c r="Q28" s="190">
        <f>SUM(Q3:Q27)</f>
        <v>38</v>
      </c>
      <c r="R28" s="190">
        <f>SUM(R3:R27)</f>
        <v>39</v>
      </c>
      <c r="S28" s="190">
        <f>SUM(S3:S27)</f>
        <v>39</v>
      </c>
      <c r="T28" s="190">
        <f>SUM(T3:T27)</f>
        <v>39</v>
      </c>
      <c r="U28" s="190">
        <f>SUM(U3:U27)</f>
        <v>39</v>
      </c>
      <c r="V28" s="190">
        <f>SUM(V3:V27)</f>
        <v>39</v>
      </c>
      <c r="W28" s="190">
        <f>SUM(W3:W27)</f>
        <v>38</v>
      </c>
      <c r="X28" s="190">
        <f>SUM(X3:X27)</f>
        <v>39</v>
      </c>
      <c r="Y28" s="190">
        <f>SUM(Y3:Y27)</f>
        <v>39</v>
      </c>
      <c r="Z28" s="190">
        <f>SUM(Z3:Z27)</f>
        <v>55</v>
      </c>
      <c r="AA28" s="190">
        <f>SUM(AA3:AA27)</f>
        <v>39</v>
      </c>
      <c r="AB28" s="190">
        <f>SUM(AB3:AB27)</f>
        <v>39</v>
      </c>
      <c r="AC28" s="190">
        <f>SUM(AC3:AC27)</f>
        <v>38</v>
      </c>
      <c r="AD28" s="190">
        <f>SUM(AD3:AD27)</f>
        <v>39</v>
      </c>
      <c r="AE28" s="190">
        <f>SUM(AE3:AE27)</f>
        <v>39</v>
      </c>
      <c r="AF28" s="190">
        <f>SUM(AF3:AF27)</f>
        <v>39</v>
      </c>
      <c r="AG28" s="190">
        <f>SUM(AG3:AG27)</f>
        <v>39</v>
      </c>
      <c r="AH28" s="190">
        <f>SUM(AH3:AH27)</f>
        <v>39</v>
      </c>
      <c r="AI28" s="190">
        <f>SUM(AI3:AI27)</f>
        <v>39</v>
      </c>
      <c r="AJ28" s="189"/>
      <c r="AK28" s="189"/>
      <c r="AL28" s="191"/>
    </row>
    <row r="29" spans="1:40" x14ac:dyDescent="0.2">
      <c r="B29" s="238" t="s">
        <v>145</v>
      </c>
      <c r="C29" s="239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40"/>
      <c r="AK29" s="240"/>
      <c r="AL29" s="241">
        <f>SUM(AL3:AL28)</f>
        <v>38</v>
      </c>
    </row>
    <row r="30" spans="1:40" x14ac:dyDescent="0.2">
      <c r="C30" s="14"/>
    </row>
    <row r="31" spans="1:40" x14ac:dyDescent="0.2">
      <c r="C31" s="35"/>
    </row>
  </sheetData>
  <sheetProtection selectLockedCells="1" selectUnlockedCells="1"/>
  <autoFilter ref="A2:AN2" xr:uid="{00000000-0009-0000-0000-000003000000}">
    <sortState ref="A3:AN29">
      <sortCondition descending="1" ref="C2:C29"/>
    </sortState>
  </autoFilter>
  <sortState ref="B4:AL5">
    <sortCondition descending="1" ref="AL4:AL5"/>
  </sortState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41">
    <tabColor rgb="FF008000"/>
    <pageSetUpPr fitToPage="1"/>
  </sheetPr>
  <dimension ref="A1:G41"/>
  <sheetViews>
    <sheetView topLeftCell="A17" workbookViewId="0">
      <selection activeCell="D38" sqref="D38"/>
    </sheetView>
  </sheetViews>
  <sheetFormatPr baseColWidth="10" defaultColWidth="11.5" defaultRowHeight="14" x14ac:dyDescent="0.2"/>
  <cols>
    <col min="1" max="1" width="8.5" style="295" customWidth="1"/>
    <col min="2" max="3" width="11.5" style="295" customWidth="1"/>
    <col min="4" max="4" width="33.5" style="295" customWidth="1"/>
    <col min="5" max="6" width="12.1640625" style="295" customWidth="1"/>
    <col min="7" max="7" width="31.1640625" style="295" customWidth="1"/>
    <col min="8" max="16384" width="11.5" style="295"/>
  </cols>
  <sheetData>
    <row r="1" spans="1:7" ht="38" customHeight="1" x14ac:dyDescent="0.2">
      <c r="A1" s="458" t="s">
        <v>205</v>
      </c>
      <c r="B1" s="458"/>
      <c r="C1" s="458"/>
      <c r="D1" s="458"/>
      <c r="E1" s="458"/>
      <c r="F1" s="458"/>
      <c r="G1" s="458"/>
    </row>
    <row r="2" spans="1:7" s="296" customFormat="1" ht="16" customHeight="1" x14ac:dyDescent="0.2">
      <c r="A2" s="459" t="s">
        <v>180</v>
      </c>
      <c r="B2" s="459"/>
      <c r="C2" s="459"/>
      <c r="D2" s="459"/>
      <c r="E2" s="459"/>
      <c r="F2" s="459"/>
      <c r="G2" s="459"/>
    </row>
    <row r="3" spans="1:7" ht="23" customHeight="1" x14ac:dyDescent="0.2">
      <c r="A3" s="460" t="s">
        <v>114</v>
      </c>
      <c r="B3" s="460"/>
      <c r="C3" s="460"/>
      <c r="D3" s="460"/>
      <c r="E3" s="460"/>
      <c r="F3" s="460"/>
      <c r="G3" s="460"/>
    </row>
    <row r="4" spans="1:7" s="298" customFormat="1" ht="23" customHeight="1" x14ac:dyDescent="0.2">
      <c r="A4" s="297" t="s">
        <v>74</v>
      </c>
      <c r="B4" s="297" t="s">
        <v>115</v>
      </c>
      <c r="C4" s="297" t="s">
        <v>116</v>
      </c>
      <c r="D4" s="297" t="s">
        <v>117</v>
      </c>
      <c r="E4" s="297" t="s">
        <v>151</v>
      </c>
      <c r="F4" s="297" t="s">
        <v>133</v>
      </c>
      <c r="G4" s="297" t="s">
        <v>118</v>
      </c>
    </row>
    <row r="5" spans="1:7" ht="23" customHeight="1" x14ac:dyDescent="0.2">
      <c r="A5" s="307">
        <v>43170</v>
      </c>
      <c r="B5" s="300">
        <v>0.41666666666666669</v>
      </c>
      <c r="C5" s="301" t="s">
        <v>99</v>
      </c>
      <c r="D5" s="302" t="s">
        <v>136</v>
      </c>
      <c r="E5" s="301" t="s">
        <v>119</v>
      </c>
      <c r="F5" s="301" t="s">
        <v>134</v>
      </c>
      <c r="G5" s="303" t="s">
        <v>120</v>
      </c>
    </row>
    <row r="6" spans="1:7" ht="23" customHeight="1" x14ac:dyDescent="0.2">
      <c r="A6" s="307">
        <v>43177</v>
      </c>
      <c r="B6" s="300">
        <v>0.41666666666666669</v>
      </c>
      <c r="C6" s="301" t="s">
        <v>99</v>
      </c>
      <c r="D6" s="302" t="s">
        <v>175</v>
      </c>
      <c r="E6" s="301" t="s">
        <v>119</v>
      </c>
      <c r="F6" s="301" t="s">
        <v>134</v>
      </c>
      <c r="G6" s="303" t="s">
        <v>120</v>
      </c>
    </row>
    <row r="7" spans="1:7" ht="23" customHeight="1" x14ac:dyDescent="0.2">
      <c r="A7" s="307">
        <v>43184</v>
      </c>
      <c r="B7" s="300">
        <v>0.45833333333333298</v>
      </c>
      <c r="C7" s="301" t="s">
        <v>99</v>
      </c>
      <c r="D7" s="302" t="s">
        <v>179</v>
      </c>
      <c r="E7" s="301" t="s">
        <v>119</v>
      </c>
      <c r="F7" s="301" t="s">
        <v>134</v>
      </c>
      <c r="G7" s="352" t="s">
        <v>120</v>
      </c>
    </row>
    <row r="8" spans="1:7" ht="23" customHeight="1" x14ac:dyDescent="0.2">
      <c r="A8" s="461" t="s">
        <v>121</v>
      </c>
      <c r="B8" s="461"/>
      <c r="C8" s="461"/>
      <c r="D8" s="461"/>
      <c r="E8" s="461"/>
      <c r="F8" s="461"/>
      <c r="G8" s="461"/>
    </row>
    <row r="9" spans="1:7" ht="23" customHeight="1" x14ac:dyDescent="0.2">
      <c r="A9" s="307">
        <v>43188</v>
      </c>
      <c r="B9" s="300">
        <v>0.33333333333333331</v>
      </c>
      <c r="C9" s="304">
        <v>6000000</v>
      </c>
      <c r="D9" s="302" t="s">
        <v>209</v>
      </c>
      <c r="E9" s="301" t="s">
        <v>119</v>
      </c>
      <c r="F9" s="301" t="s">
        <v>182</v>
      </c>
      <c r="G9" s="354" t="s">
        <v>122</v>
      </c>
    </row>
    <row r="10" spans="1:7" ht="23" customHeight="1" x14ac:dyDescent="0.2">
      <c r="A10" s="307">
        <v>43195</v>
      </c>
      <c r="B10" s="300">
        <v>0.66666666666666663</v>
      </c>
      <c r="C10" s="304">
        <v>8000000</v>
      </c>
      <c r="D10" s="305" t="s">
        <v>123</v>
      </c>
      <c r="E10" s="301" t="s">
        <v>119</v>
      </c>
      <c r="F10" s="301" t="s">
        <v>183</v>
      </c>
      <c r="G10" s="355" t="s">
        <v>154</v>
      </c>
    </row>
    <row r="11" spans="1:7" ht="23" customHeight="1" x14ac:dyDescent="0.2">
      <c r="A11" s="307">
        <v>43202</v>
      </c>
      <c r="B11" s="300">
        <v>0.66666666666666663</v>
      </c>
      <c r="C11" s="304">
        <v>6000000</v>
      </c>
      <c r="D11" s="302" t="s">
        <v>160</v>
      </c>
      <c r="E11" s="301" t="s">
        <v>119</v>
      </c>
      <c r="F11" s="301" t="s">
        <v>184</v>
      </c>
      <c r="G11" s="306"/>
    </row>
    <row r="12" spans="1:7" ht="23" customHeight="1" x14ac:dyDescent="0.2">
      <c r="A12" s="307">
        <v>43209</v>
      </c>
      <c r="B12" s="300">
        <v>0.66666666666666696</v>
      </c>
      <c r="C12" s="304">
        <v>6000000</v>
      </c>
      <c r="D12" s="302" t="s">
        <v>161</v>
      </c>
      <c r="E12" s="301" t="s">
        <v>119</v>
      </c>
      <c r="F12" s="301" t="s">
        <v>182</v>
      </c>
      <c r="G12" s="357"/>
    </row>
    <row r="13" spans="1:7" ht="23" customHeight="1" x14ac:dyDescent="0.2">
      <c r="A13" s="307">
        <v>43216</v>
      </c>
      <c r="B13" s="300">
        <v>0.66666666666666696</v>
      </c>
      <c r="C13" s="304">
        <v>6000000</v>
      </c>
      <c r="D13" s="302" t="s">
        <v>162</v>
      </c>
      <c r="E13" s="301" t="s">
        <v>119</v>
      </c>
      <c r="F13" s="301" t="s">
        <v>183</v>
      </c>
      <c r="G13" s="360" t="s">
        <v>157</v>
      </c>
    </row>
    <row r="14" spans="1:7" ht="23" customHeight="1" x14ac:dyDescent="0.2">
      <c r="A14" s="307">
        <v>43223</v>
      </c>
      <c r="B14" s="300">
        <v>0.66666666666666696</v>
      </c>
      <c r="C14" s="304">
        <v>6000000</v>
      </c>
      <c r="D14" s="302" t="s">
        <v>163</v>
      </c>
      <c r="E14" s="301" t="s">
        <v>119</v>
      </c>
      <c r="F14" s="301" t="s">
        <v>184</v>
      </c>
      <c r="G14" s="306" t="s">
        <v>154</v>
      </c>
    </row>
    <row r="15" spans="1:7" ht="23" customHeight="1" x14ac:dyDescent="0.2">
      <c r="A15" s="307">
        <v>43230</v>
      </c>
      <c r="B15" s="300">
        <v>0.33333333333333331</v>
      </c>
      <c r="C15" s="304">
        <v>6000000</v>
      </c>
      <c r="D15" s="302" t="s">
        <v>164</v>
      </c>
      <c r="E15" s="301" t="s">
        <v>124</v>
      </c>
      <c r="F15" s="301" t="s">
        <v>182</v>
      </c>
      <c r="G15" s="354"/>
    </row>
    <row r="16" spans="1:7" ht="23" customHeight="1" x14ac:dyDescent="0.2">
      <c r="A16" s="307">
        <v>43237</v>
      </c>
      <c r="B16" s="300">
        <v>0.66666666666666696</v>
      </c>
      <c r="C16" s="304">
        <v>6000000</v>
      </c>
      <c r="D16" s="302" t="s">
        <v>165</v>
      </c>
      <c r="E16" s="301" t="s">
        <v>119</v>
      </c>
      <c r="F16" s="301" t="s">
        <v>183</v>
      </c>
      <c r="G16" s="355" t="s">
        <v>185</v>
      </c>
    </row>
    <row r="17" spans="1:7" ht="23" customHeight="1" x14ac:dyDescent="0.2">
      <c r="A17" s="307">
        <v>43244</v>
      </c>
      <c r="B17" s="300">
        <v>0.66666666666666696</v>
      </c>
      <c r="C17" s="304">
        <v>6000000</v>
      </c>
      <c r="D17" s="302" t="s">
        <v>225</v>
      </c>
      <c r="E17" s="301" t="s">
        <v>119</v>
      </c>
      <c r="F17" s="301" t="s">
        <v>184</v>
      </c>
      <c r="G17" s="361" t="s">
        <v>156</v>
      </c>
    </row>
    <row r="18" spans="1:7" ht="23" customHeight="1" x14ac:dyDescent="0.2">
      <c r="A18" s="307">
        <v>43251</v>
      </c>
      <c r="B18" s="300">
        <v>0.66666666666666696</v>
      </c>
      <c r="C18" s="304">
        <v>6000000</v>
      </c>
      <c r="D18" s="302" t="s">
        <v>166</v>
      </c>
      <c r="E18" s="301" t="s">
        <v>119</v>
      </c>
      <c r="F18" s="301" t="s">
        <v>182</v>
      </c>
      <c r="G18" s="354" t="s">
        <v>154</v>
      </c>
    </row>
    <row r="19" spans="1:7" ht="23" customHeight="1" x14ac:dyDescent="0.2">
      <c r="A19" s="307">
        <v>43253</v>
      </c>
      <c r="B19" s="300" t="s">
        <v>176</v>
      </c>
      <c r="C19" s="301" t="s">
        <v>125</v>
      </c>
      <c r="D19" s="302" t="s">
        <v>226</v>
      </c>
      <c r="E19" s="301" t="s">
        <v>126</v>
      </c>
      <c r="F19" s="393"/>
      <c r="G19" s="353" t="s">
        <v>153</v>
      </c>
    </row>
    <row r="20" spans="1:7" ht="23" customHeight="1" x14ac:dyDescent="0.2">
      <c r="A20" s="307">
        <v>43258</v>
      </c>
      <c r="B20" s="300">
        <v>0.66666666666666696</v>
      </c>
      <c r="C20" s="304">
        <v>6000000</v>
      </c>
      <c r="D20" s="302" t="s">
        <v>167</v>
      </c>
      <c r="E20" s="301" t="s">
        <v>119</v>
      </c>
      <c r="F20" s="301" t="s">
        <v>183</v>
      </c>
      <c r="G20" s="355"/>
    </row>
    <row r="21" spans="1:7" ht="23" customHeight="1" x14ac:dyDescent="0.2">
      <c r="A21" s="307">
        <v>43265</v>
      </c>
      <c r="B21" s="300">
        <v>0.66666666666666696</v>
      </c>
      <c r="C21" s="304">
        <v>8000000</v>
      </c>
      <c r="D21" s="305" t="s">
        <v>188</v>
      </c>
      <c r="E21" s="301" t="s">
        <v>124</v>
      </c>
      <c r="F21" s="301" t="s">
        <v>184</v>
      </c>
      <c r="G21" s="356"/>
    </row>
    <row r="22" spans="1:7" ht="23" customHeight="1" x14ac:dyDescent="0.2">
      <c r="A22" s="307">
        <v>43272</v>
      </c>
      <c r="B22" s="300">
        <v>0.66666666666666696</v>
      </c>
      <c r="C22" s="304">
        <v>6000000</v>
      </c>
      <c r="D22" s="302" t="s">
        <v>168</v>
      </c>
      <c r="E22" s="301" t="s">
        <v>119</v>
      </c>
      <c r="F22" s="301" t="s">
        <v>182</v>
      </c>
      <c r="G22" s="357"/>
    </row>
    <row r="23" spans="1:7" ht="23" customHeight="1" x14ac:dyDescent="0.2">
      <c r="A23" s="307">
        <v>43279</v>
      </c>
      <c r="B23" s="300">
        <v>0.66666666666666696</v>
      </c>
      <c r="C23" s="304">
        <v>6000000</v>
      </c>
      <c r="D23" s="302" t="s">
        <v>169</v>
      </c>
      <c r="E23" s="301" t="s">
        <v>119</v>
      </c>
      <c r="F23" s="301" t="s">
        <v>183</v>
      </c>
      <c r="G23" s="355"/>
    </row>
    <row r="24" spans="1:7" ht="23" customHeight="1" x14ac:dyDescent="0.2">
      <c r="A24" s="307">
        <v>43286</v>
      </c>
      <c r="B24" s="300">
        <v>0.66666666666666696</v>
      </c>
      <c r="C24" s="304">
        <v>6000000</v>
      </c>
      <c r="D24" s="302" t="s">
        <v>149</v>
      </c>
      <c r="E24" s="301" t="s">
        <v>119</v>
      </c>
      <c r="F24" s="301" t="s">
        <v>184</v>
      </c>
      <c r="G24" s="306" t="s">
        <v>154</v>
      </c>
    </row>
    <row r="25" spans="1:7" ht="23" customHeight="1" x14ac:dyDescent="0.2">
      <c r="A25" s="307">
        <v>43293</v>
      </c>
      <c r="B25" s="300">
        <v>0.66666666666666696</v>
      </c>
      <c r="C25" s="304">
        <v>6000000</v>
      </c>
      <c r="D25" s="302" t="s">
        <v>170</v>
      </c>
      <c r="E25" s="301" t="s">
        <v>119</v>
      </c>
      <c r="F25" s="301" t="s">
        <v>182</v>
      </c>
      <c r="G25" s="358"/>
    </row>
    <row r="26" spans="1:7" ht="23" customHeight="1" x14ac:dyDescent="0.2">
      <c r="A26" s="307">
        <v>43300</v>
      </c>
      <c r="B26" s="300">
        <v>0.66666666666666696</v>
      </c>
      <c r="C26" s="304">
        <v>8000000</v>
      </c>
      <c r="D26" s="305" t="s">
        <v>189</v>
      </c>
      <c r="E26" s="301" t="s">
        <v>124</v>
      </c>
      <c r="F26" s="301" t="s">
        <v>183</v>
      </c>
      <c r="G26" s="355"/>
    </row>
    <row r="27" spans="1:7" ht="23" customHeight="1" x14ac:dyDescent="0.2">
      <c r="A27" s="307">
        <v>43307</v>
      </c>
      <c r="B27" s="300">
        <v>0.66666666666666696</v>
      </c>
      <c r="C27" s="304">
        <v>6000000</v>
      </c>
      <c r="D27" s="302" t="s">
        <v>171</v>
      </c>
      <c r="E27" s="301" t="s">
        <v>119</v>
      </c>
      <c r="F27" s="301" t="s">
        <v>184</v>
      </c>
      <c r="G27" s="361" t="s">
        <v>152</v>
      </c>
    </row>
    <row r="28" spans="1:7" ht="23" customHeight="1" x14ac:dyDescent="0.2">
      <c r="A28" s="307">
        <v>43314</v>
      </c>
      <c r="B28" s="300">
        <v>0.66666666666666696</v>
      </c>
      <c r="C28" s="304">
        <v>6000000</v>
      </c>
      <c r="D28" s="302" t="s">
        <v>178</v>
      </c>
      <c r="E28" s="301" t="s">
        <v>119</v>
      </c>
      <c r="F28" s="301" t="s">
        <v>182</v>
      </c>
      <c r="G28" s="354" t="s">
        <v>154</v>
      </c>
    </row>
    <row r="29" spans="1:7" ht="23" customHeight="1" x14ac:dyDescent="0.2">
      <c r="A29" s="307">
        <v>43321</v>
      </c>
      <c r="B29" s="300">
        <v>0.66666666666666696</v>
      </c>
      <c r="C29" s="304">
        <v>6000000</v>
      </c>
      <c r="D29" s="305" t="s">
        <v>190</v>
      </c>
      <c r="E29" s="301" t="s">
        <v>124</v>
      </c>
      <c r="F29" s="301" t="s">
        <v>183</v>
      </c>
      <c r="G29" s="355"/>
    </row>
    <row r="30" spans="1:7" ht="23" customHeight="1" x14ac:dyDescent="0.2">
      <c r="A30" s="307">
        <v>43328</v>
      </c>
      <c r="B30" s="300">
        <v>0.66666666666666696</v>
      </c>
      <c r="C30" s="304">
        <v>6000000</v>
      </c>
      <c r="D30" s="302" t="s">
        <v>172</v>
      </c>
      <c r="E30" s="301" t="s">
        <v>119</v>
      </c>
      <c r="F30" s="301" t="s">
        <v>184</v>
      </c>
      <c r="G30" s="306" t="s">
        <v>186</v>
      </c>
    </row>
    <row r="31" spans="1:7" ht="23" customHeight="1" x14ac:dyDescent="0.2">
      <c r="A31" s="307">
        <v>43335</v>
      </c>
      <c r="B31" s="300">
        <v>0.66666666666666696</v>
      </c>
      <c r="C31" s="304">
        <v>6000000</v>
      </c>
      <c r="D31" s="302" t="s">
        <v>210</v>
      </c>
      <c r="E31" s="301" t="s">
        <v>119</v>
      </c>
      <c r="F31" s="301" t="s">
        <v>182</v>
      </c>
      <c r="G31" s="357" t="s">
        <v>187</v>
      </c>
    </row>
    <row r="32" spans="1:7" ht="23" customHeight="1" x14ac:dyDescent="0.2">
      <c r="A32" s="307">
        <v>43342</v>
      </c>
      <c r="B32" s="300">
        <v>0.66666666666666696</v>
      </c>
      <c r="C32" s="304">
        <v>6000000</v>
      </c>
      <c r="D32" s="302" t="s">
        <v>150</v>
      </c>
      <c r="E32" s="301" t="s">
        <v>119</v>
      </c>
      <c r="F32" s="301" t="s">
        <v>183</v>
      </c>
      <c r="G32" s="355"/>
    </row>
    <row r="33" spans="1:7" ht="23" customHeight="1" x14ac:dyDescent="0.2">
      <c r="A33" s="307">
        <v>43349</v>
      </c>
      <c r="B33" s="300">
        <v>0.66666666666666696</v>
      </c>
      <c r="C33" s="304">
        <v>6000000</v>
      </c>
      <c r="D33" s="302" t="s">
        <v>173</v>
      </c>
      <c r="E33" s="301" t="s">
        <v>119</v>
      </c>
      <c r="F33" s="379" t="s">
        <v>184</v>
      </c>
      <c r="G33" s="306" t="s">
        <v>154</v>
      </c>
    </row>
    <row r="34" spans="1:7" ht="23" customHeight="1" x14ac:dyDescent="0.2">
      <c r="A34" s="307">
        <v>43351</v>
      </c>
      <c r="B34" s="300" t="s">
        <v>176</v>
      </c>
      <c r="C34" s="301" t="s">
        <v>125</v>
      </c>
      <c r="D34" s="302" t="s">
        <v>177</v>
      </c>
      <c r="E34" s="301" t="s">
        <v>126</v>
      </c>
      <c r="F34" s="380"/>
      <c r="G34" s="353" t="s">
        <v>153</v>
      </c>
    </row>
    <row r="35" spans="1:7" ht="23" customHeight="1" x14ac:dyDescent="0.2">
      <c r="A35" s="307">
        <v>43356</v>
      </c>
      <c r="B35" s="300">
        <v>0.66666666666666696</v>
      </c>
      <c r="C35" s="304">
        <v>6000000</v>
      </c>
      <c r="D35" s="302" t="s">
        <v>211</v>
      </c>
      <c r="E35" s="301" t="s">
        <v>119</v>
      </c>
      <c r="F35" s="301" t="s">
        <v>182</v>
      </c>
      <c r="G35" s="354"/>
    </row>
    <row r="36" spans="1:7" ht="23" customHeight="1" x14ac:dyDescent="0.2">
      <c r="A36" s="307">
        <v>43363</v>
      </c>
      <c r="B36" s="300">
        <v>0.66666666666666696</v>
      </c>
      <c r="C36" s="304">
        <v>7000000</v>
      </c>
      <c r="D36" s="302" t="s">
        <v>174</v>
      </c>
      <c r="E36" s="301" t="s">
        <v>119</v>
      </c>
      <c r="F36" s="301" t="s">
        <v>183</v>
      </c>
      <c r="G36" s="359"/>
    </row>
    <row r="37" spans="1:7" ht="23" customHeight="1" x14ac:dyDescent="0.2">
      <c r="A37" s="307">
        <v>43370</v>
      </c>
      <c r="B37" s="300">
        <v>0.66666666666666696</v>
      </c>
      <c r="C37" s="304">
        <v>8000000</v>
      </c>
      <c r="D37" s="302" t="s">
        <v>212</v>
      </c>
      <c r="E37" s="301" t="s">
        <v>119</v>
      </c>
      <c r="F37" s="301" t="s">
        <v>184</v>
      </c>
      <c r="G37" s="306"/>
    </row>
    <row r="38" spans="1:7" ht="23" customHeight="1" x14ac:dyDescent="0.2">
      <c r="A38" s="307">
        <v>43377</v>
      </c>
      <c r="B38" s="300">
        <v>0.66666666666666696</v>
      </c>
      <c r="C38" s="304">
        <v>9000000</v>
      </c>
      <c r="D38" s="302" t="s">
        <v>213</v>
      </c>
      <c r="E38" s="301" t="s">
        <v>119</v>
      </c>
      <c r="F38" s="301" t="s">
        <v>182</v>
      </c>
      <c r="G38" s="354" t="s">
        <v>154</v>
      </c>
    </row>
    <row r="39" spans="1:7" ht="23" customHeight="1" x14ac:dyDescent="0.2">
      <c r="A39" s="307">
        <v>43379</v>
      </c>
      <c r="B39" s="300">
        <v>0.33333333333333331</v>
      </c>
      <c r="C39" s="304">
        <v>10000000</v>
      </c>
      <c r="D39" s="302" t="s">
        <v>202</v>
      </c>
      <c r="E39" s="301" t="s">
        <v>119</v>
      </c>
      <c r="F39" s="301" t="s">
        <v>183</v>
      </c>
      <c r="G39" s="355" t="s">
        <v>199</v>
      </c>
    </row>
    <row r="40" spans="1:7" ht="23" customHeight="1" x14ac:dyDescent="0.2">
      <c r="A40" s="455" t="s">
        <v>127</v>
      </c>
      <c r="B40" s="456"/>
      <c r="C40" s="456"/>
      <c r="D40" s="456"/>
      <c r="E40" s="456"/>
      <c r="F40" s="456"/>
      <c r="G40" s="457"/>
    </row>
    <row r="41" spans="1:7" ht="23" customHeight="1" x14ac:dyDescent="0.2">
      <c r="A41" s="307">
        <v>43394</v>
      </c>
      <c r="B41" s="299" t="s">
        <v>99</v>
      </c>
      <c r="C41" s="302"/>
      <c r="D41" s="302" t="s">
        <v>300</v>
      </c>
      <c r="E41" s="302"/>
      <c r="F41" s="302"/>
      <c r="G41" s="303" t="s">
        <v>128</v>
      </c>
    </row>
  </sheetData>
  <sheetProtection selectLockedCells="1" selectUnlockedCells="1"/>
  <sortState ref="A9:G39">
    <sortCondition ref="A9:A39"/>
  </sortState>
  <mergeCells count="5">
    <mergeCell ref="A40:G40"/>
    <mergeCell ref="A1:G1"/>
    <mergeCell ref="A2:G2"/>
    <mergeCell ref="A3:G3"/>
    <mergeCell ref="A8:G8"/>
  </mergeCells>
  <phoneticPr fontId="33" type="noConversion"/>
  <pageMargins left="0" right="0" top="1" bottom="1" header="0.51180555555555551" footer="0.51180555555555551"/>
  <pageSetup paperSize="9" scale="68" firstPageNumber="0" orientation="portrait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42"/>
  <dimension ref="B2:AH56"/>
  <sheetViews>
    <sheetView workbookViewId="0"/>
  </sheetViews>
  <sheetFormatPr baseColWidth="10" defaultColWidth="11.5" defaultRowHeight="13" x14ac:dyDescent="0.15"/>
  <cols>
    <col min="1" max="1" width="2.83203125" style="8" customWidth="1"/>
    <col min="2" max="2" width="13" style="8" customWidth="1"/>
    <col min="3" max="21" width="11.5" style="8" customWidth="1"/>
    <col min="22" max="16384" width="11.5" style="8"/>
  </cols>
  <sheetData>
    <row r="2" spans="2:34" ht="16" x14ac:dyDescent="0.2">
      <c r="B2" s="202" t="s">
        <v>129</v>
      </c>
      <c r="C2" s="203">
        <v>43190</v>
      </c>
      <c r="D2" s="203">
        <v>43197</v>
      </c>
      <c r="E2" s="203">
        <v>43204</v>
      </c>
      <c r="F2" s="203">
        <v>43211</v>
      </c>
      <c r="G2" s="203">
        <v>43218</v>
      </c>
      <c r="H2" s="203">
        <v>43225</v>
      </c>
      <c r="I2" s="203">
        <v>43232</v>
      </c>
      <c r="J2" s="203">
        <v>43239</v>
      </c>
      <c r="K2" s="203">
        <v>43246</v>
      </c>
      <c r="L2" s="203">
        <v>43253</v>
      </c>
      <c r="M2" s="203">
        <v>43260</v>
      </c>
      <c r="N2" s="203">
        <v>43267</v>
      </c>
      <c r="O2" s="203">
        <v>43274</v>
      </c>
      <c r="P2" s="203">
        <v>43281</v>
      </c>
      <c r="Q2" s="203">
        <v>43288</v>
      </c>
      <c r="R2" s="203">
        <v>43295</v>
      </c>
      <c r="S2" s="203">
        <v>43302</v>
      </c>
      <c r="T2" s="203">
        <v>43309</v>
      </c>
      <c r="U2" s="203">
        <v>43316</v>
      </c>
      <c r="V2" s="203">
        <v>43323</v>
      </c>
      <c r="W2" s="203">
        <v>43330</v>
      </c>
      <c r="X2" s="203">
        <v>43337</v>
      </c>
      <c r="Y2" s="203">
        <v>43344</v>
      </c>
      <c r="Z2" s="203">
        <v>43351</v>
      </c>
      <c r="AA2" s="203">
        <v>43358</v>
      </c>
      <c r="AB2" s="203">
        <v>43365</v>
      </c>
      <c r="AC2" s="203">
        <v>43372</v>
      </c>
      <c r="AD2" s="203">
        <v>43379</v>
      </c>
      <c r="AE2" s="203">
        <v>43386</v>
      </c>
    </row>
    <row r="3" spans="2:34" ht="16" x14ac:dyDescent="0.2">
      <c r="B3" s="204">
        <v>0.66666666666666663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G3" s="346"/>
      <c r="AH3" s="347"/>
    </row>
    <row r="4" spans="2:34" ht="16" x14ac:dyDescent="0.2">
      <c r="B4" s="206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G4" s="348"/>
      <c r="AH4" s="349"/>
    </row>
    <row r="5" spans="2:34" ht="16" x14ac:dyDescent="0.2">
      <c r="B5" s="206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G5" s="348"/>
      <c r="AH5" s="349"/>
    </row>
    <row r="6" spans="2:34" ht="16" x14ac:dyDescent="0.2">
      <c r="B6" s="206"/>
      <c r="C6" s="205"/>
      <c r="D6" s="205"/>
      <c r="E6" s="327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G6" s="348"/>
      <c r="AH6" s="349"/>
    </row>
    <row r="7" spans="2:34" s="69" customFormat="1" ht="16" x14ac:dyDescent="0.2">
      <c r="B7" s="207">
        <v>0.67708333333333337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G7" s="348"/>
      <c r="AH7" s="349"/>
    </row>
    <row r="8" spans="2:34" s="69" customFormat="1" ht="16" x14ac:dyDescent="0.2">
      <c r="B8" s="209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G8" s="348"/>
      <c r="AH8" s="349"/>
    </row>
    <row r="9" spans="2:34" s="69" customFormat="1" ht="16" x14ac:dyDescent="0.2">
      <c r="B9" s="209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G9" s="348"/>
      <c r="AH9" s="349"/>
    </row>
    <row r="10" spans="2:34" s="69" customFormat="1" ht="16" x14ac:dyDescent="0.2">
      <c r="B10" s="209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G10" s="348"/>
      <c r="AH10" s="349"/>
    </row>
    <row r="11" spans="2:34" ht="16" x14ac:dyDescent="0.2">
      <c r="B11" s="204">
        <v>0.6875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G11" s="348"/>
      <c r="AH11" s="349"/>
    </row>
    <row r="12" spans="2:34" ht="16" x14ac:dyDescent="0.2">
      <c r="B12" s="206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G12" s="348"/>
      <c r="AH12" s="349"/>
    </row>
    <row r="13" spans="2:34" ht="16" x14ac:dyDescent="0.2">
      <c r="B13" s="206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G13" s="348"/>
      <c r="AH13" s="349"/>
    </row>
    <row r="14" spans="2:34" ht="16" x14ac:dyDescent="0.2">
      <c r="B14" s="206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G14" s="348"/>
      <c r="AH14" s="349"/>
    </row>
    <row r="15" spans="2:34" s="69" customFormat="1" ht="16" x14ac:dyDescent="0.2">
      <c r="B15" s="207">
        <v>0.69791666666666663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G15" s="348"/>
      <c r="AH15" s="349"/>
    </row>
    <row r="16" spans="2:34" s="69" customFormat="1" ht="16" x14ac:dyDescent="0.2">
      <c r="B16" s="209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G16" s="350"/>
      <c r="AH16" s="349"/>
    </row>
    <row r="17" spans="2:34" s="69" customFormat="1" ht="16" x14ac:dyDescent="0.2">
      <c r="B17" s="209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G17" s="350"/>
      <c r="AH17" s="349"/>
    </row>
    <row r="18" spans="2:34" s="69" customFormat="1" ht="16" x14ac:dyDescent="0.2">
      <c r="B18" s="209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G18" s="348"/>
      <c r="AH18" s="349"/>
    </row>
    <row r="19" spans="2:34" ht="16" x14ac:dyDescent="0.2">
      <c r="B19" s="204">
        <v>0.70833333333333337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G19" s="348"/>
      <c r="AH19" s="349"/>
    </row>
    <row r="20" spans="2:34" ht="16" x14ac:dyDescent="0.2">
      <c r="B20" s="206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G20" s="348"/>
      <c r="AH20" s="349"/>
    </row>
    <row r="21" spans="2:34" ht="16" x14ac:dyDescent="0.2">
      <c r="B21" s="206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G21" s="348"/>
      <c r="AH21" s="349"/>
    </row>
    <row r="22" spans="2:34" ht="16" x14ac:dyDescent="0.2">
      <c r="B22" s="206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G22" s="348"/>
      <c r="AH22" s="349"/>
    </row>
    <row r="23" spans="2:34" ht="16" x14ac:dyDescent="0.2">
      <c r="B23" s="207">
        <v>0.71875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G23" s="348"/>
      <c r="AH23" s="349"/>
    </row>
    <row r="24" spans="2:34" ht="16" x14ac:dyDescent="0.2">
      <c r="B24" s="209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G24" s="348"/>
      <c r="AH24" s="349"/>
    </row>
    <row r="25" spans="2:34" ht="16" x14ac:dyDescent="0.2">
      <c r="B25" s="209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G25" s="348"/>
      <c r="AH25" s="349"/>
    </row>
    <row r="26" spans="2:34" ht="16" x14ac:dyDescent="0.2">
      <c r="B26" s="209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G26" s="348"/>
      <c r="AH26" s="349"/>
    </row>
    <row r="27" spans="2:34" s="69" customFormat="1" x14ac:dyDescent="0.15">
      <c r="B27" s="158" t="s">
        <v>138</v>
      </c>
      <c r="C27" s="158">
        <f t="shared" ref="C27:W27" si="0">COUNTA(C3:C26)</f>
        <v>0</v>
      </c>
      <c r="D27" s="158">
        <f t="shared" si="0"/>
        <v>0</v>
      </c>
      <c r="E27" s="158">
        <f t="shared" si="0"/>
        <v>0</v>
      </c>
      <c r="F27" s="158">
        <f t="shared" si="0"/>
        <v>0</v>
      </c>
      <c r="G27" s="158">
        <f t="shared" si="0"/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 t="shared" si="0"/>
        <v>0</v>
      </c>
      <c r="M27" s="158">
        <f t="shared" si="0"/>
        <v>0</v>
      </c>
      <c r="N27" s="158">
        <f t="shared" si="0"/>
        <v>0</v>
      </c>
      <c r="O27" s="158">
        <f t="shared" si="0"/>
        <v>0</v>
      </c>
      <c r="P27" s="158">
        <f t="shared" si="0"/>
        <v>0</v>
      </c>
      <c r="Q27" s="158">
        <f t="shared" si="0"/>
        <v>0</v>
      </c>
      <c r="R27" s="158">
        <f t="shared" si="0"/>
        <v>0</v>
      </c>
      <c r="S27" s="158">
        <f t="shared" si="0"/>
        <v>0</v>
      </c>
      <c r="T27" s="158">
        <f t="shared" si="0"/>
        <v>0</v>
      </c>
      <c r="U27" s="158">
        <f t="shared" si="0"/>
        <v>0</v>
      </c>
      <c r="V27" s="158">
        <f t="shared" si="0"/>
        <v>0</v>
      </c>
      <c r="W27" s="158">
        <f t="shared" si="0"/>
        <v>0</v>
      </c>
      <c r="X27" s="158">
        <f t="shared" ref="X27:AD27" si="1">COUNTA(X3:X26)</f>
        <v>0</v>
      </c>
      <c r="Y27" s="158">
        <f t="shared" si="1"/>
        <v>0</v>
      </c>
      <c r="Z27" s="158">
        <f t="shared" si="1"/>
        <v>0</v>
      </c>
      <c r="AA27" s="158">
        <f t="shared" si="1"/>
        <v>0</v>
      </c>
      <c r="AB27" s="158">
        <f t="shared" si="1"/>
        <v>0</v>
      </c>
      <c r="AC27" s="158">
        <f t="shared" si="1"/>
        <v>0</v>
      </c>
      <c r="AD27" s="158">
        <f t="shared" si="1"/>
        <v>0</v>
      </c>
      <c r="AE27" s="158">
        <f>COUNTA(AE3:AE26)</f>
        <v>0</v>
      </c>
      <c r="AG27" s="158">
        <f>COUNTA(AG3:AG26)</f>
        <v>0</v>
      </c>
      <c r="AH27" s="327"/>
    </row>
    <row r="28" spans="2:34" s="69" customFormat="1" x14ac:dyDescent="0.15"/>
    <row r="29" spans="2:34" s="69" customFormat="1" x14ac:dyDescent="0.15"/>
    <row r="30" spans="2:34" x14ac:dyDescent="0.15">
      <c r="J30" s="69"/>
    </row>
    <row r="31" spans="2:34" x14ac:dyDescent="0.15">
      <c r="H31" s="69"/>
      <c r="I31" s="245"/>
      <c r="J31" s="245"/>
      <c r="K31" s="245"/>
      <c r="L31" s="245"/>
      <c r="M31" s="244"/>
      <c r="N31" s="244"/>
      <c r="O31" s="244"/>
      <c r="P31" s="245"/>
    </row>
    <row r="32" spans="2:34" ht="14" x14ac:dyDescent="0.15">
      <c r="L32" s="246"/>
      <c r="M32" s="289"/>
      <c r="N32" s="102"/>
      <c r="O32" s="286"/>
    </row>
    <row r="33" spans="12:15" ht="14" x14ac:dyDescent="0.15">
      <c r="L33" s="246"/>
      <c r="M33" s="289"/>
      <c r="N33" s="287"/>
      <c r="O33" s="286"/>
    </row>
    <row r="34" spans="12:15" ht="14" x14ac:dyDescent="0.15">
      <c r="L34" s="288"/>
      <c r="M34" s="289"/>
      <c r="N34" s="102"/>
      <c r="O34" s="286"/>
    </row>
    <row r="35" spans="12:15" ht="14" x14ac:dyDescent="0.15">
      <c r="L35" s="288"/>
      <c r="M35" s="289"/>
      <c r="N35" s="287"/>
      <c r="O35" s="286"/>
    </row>
    <row r="36" spans="12:15" ht="14" x14ac:dyDescent="0.15">
      <c r="L36" s="246"/>
      <c r="M36" s="289"/>
      <c r="N36" s="102"/>
      <c r="O36" s="286"/>
    </row>
    <row r="37" spans="12:15" ht="17" customHeight="1" x14ac:dyDescent="0.15">
      <c r="L37" s="246"/>
      <c r="M37" s="289"/>
      <c r="N37" s="102"/>
      <c r="O37" s="286"/>
    </row>
    <row r="38" spans="12:15" ht="14" x14ac:dyDescent="0.15">
      <c r="L38" s="246"/>
      <c r="M38" s="289"/>
      <c r="N38" s="102"/>
      <c r="O38" s="286"/>
    </row>
    <row r="39" spans="12:15" ht="14" x14ac:dyDescent="0.15">
      <c r="L39" s="246"/>
      <c r="M39" s="289"/>
      <c r="N39" s="287"/>
      <c r="O39" s="286"/>
    </row>
    <row r="40" spans="12:15" ht="14" x14ac:dyDescent="0.15">
      <c r="L40" s="246"/>
      <c r="M40" s="289"/>
      <c r="N40" s="102"/>
      <c r="O40" s="286"/>
    </row>
    <row r="41" spans="12:15" ht="14" x14ac:dyDescent="0.15">
      <c r="L41" s="246"/>
      <c r="M41" s="289"/>
      <c r="N41" s="287"/>
      <c r="O41" s="286"/>
    </row>
    <row r="42" spans="12:15" ht="15" customHeight="1" x14ac:dyDescent="0.15">
      <c r="L42" s="246"/>
      <c r="M42" s="289"/>
      <c r="N42" s="102"/>
      <c r="O42" s="286"/>
    </row>
    <row r="43" spans="12:15" ht="15" customHeight="1" x14ac:dyDescent="0.15">
      <c r="L43" s="246"/>
      <c r="M43" s="289"/>
      <c r="N43" s="102"/>
      <c r="O43" s="286"/>
    </row>
    <row r="44" spans="12:15" ht="14" x14ac:dyDescent="0.15">
      <c r="L44" s="246"/>
      <c r="M44" s="289"/>
      <c r="N44" s="287"/>
      <c r="O44" s="286"/>
    </row>
    <row r="45" spans="12:15" ht="14" x14ac:dyDescent="0.15">
      <c r="L45" s="246"/>
      <c r="M45" s="289"/>
      <c r="N45" s="102"/>
      <c r="O45" s="286"/>
    </row>
    <row r="46" spans="12:15" ht="14" x14ac:dyDescent="0.15">
      <c r="L46" s="246"/>
      <c r="M46" s="289"/>
      <c r="N46" s="287"/>
      <c r="O46" s="286"/>
    </row>
    <row r="47" spans="12:15" ht="14" x14ac:dyDescent="0.15">
      <c r="L47" s="288"/>
      <c r="M47" s="289"/>
      <c r="N47" s="102"/>
      <c r="O47" s="286"/>
    </row>
    <row r="48" spans="12:15" ht="14" x14ac:dyDescent="0.15">
      <c r="L48" s="288"/>
      <c r="M48" s="289"/>
      <c r="N48" s="287"/>
      <c r="O48" s="286"/>
    </row>
    <row r="49" spans="12:15" ht="14" x14ac:dyDescent="0.15">
      <c r="L49" s="246"/>
      <c r="M49" s="290"/>
      <c r="N49" s="102"/>
      <c r="O49" s="286"/>
    </row>
    <row r="50" spans="12:15" ht="14" x14ac:dyDescent="0.15">
      <c r="L50" s="246"/>
      <c r="M50" s="290"/>
      <c r="N50" s="287"/>
      <c r="O50" s="286"/>
    </row>
    <row r="51" spans="12:15" ht="14" x14ac:dyDescent="0.15">
      <c r="L51" s="246"/>
      <c r="M51" s="290"/>
      <c r="N51" s="102"/>
      <c r="O51" s="286"/>
    </row>
    <row r="52" spans="12:15" ht="13" customHeight="1" x14ac:dyDescent="0.15">
      <c r="L52" s="246"/>
      <c r="M52" s="290"/>
      <c r="N52" s="287"/>
      <c r="O52" s="286"/>
    </row>
    <row r="53" spans="12:15" ht="13" customHeight="1" x14ac:dyDescent="0.15">
      <c r="L53" s="246"/>
      <c r="M53" s="290"/>
      <c r="N53" s="102"/>
      <c r="O53" s="286"/>
    </row>
    <row r="54" spans="12:15" ht="14" x14ac:dyDescent="0.15">
      <c r="L54" s="246"/>
      <c r="M54" s="290"/>
      <c r="N54" s="287"/>
      <c r="O54" s="286"/>
    </row>
    <row r="55" spans="12:15" x14ac:dyDescent="0.15">
      <c r="L55" s="246"/>
      <c r="M55" s="246"/>
      <c r="N55" s="246"/>
      <c r="O55" s="246"/>
    </row>
    <row r="56" spans="12:15" x14ac:dyDescent="0.15">
      <c r="L56" s="246"/>
      <c r="M56" s="246"/>
      <c r="N56" s="246"/>
      <c r="O56" s="246"/>
    </row>
  </sheetData>
  <sheetProtection selectLockedCells="1" selectUnlockedCells="1"/>
  <phoneticPr fontId="33" type="noConversion"/>
  <pageMargins left="0" right="0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Ark43">
    <tabColor rgb="FFFFFF00"/>
  </sheetPr>
  <dimension ref="A1:AG28"/>
  <sheetViews>
    <sheetView workbookViewId="0"/>
  </sheetViews>
  <sheetFormatPr baseColWidth="10" defaultColWidth="9.1640625" defaultRowHeight="16" x14ac:dyDescent="0.2"/>
  <cols>
    <col min="1" max="1" width="2.1640625" style="14" customWidth="1"/>
    <col min="2" max="2" width="25" style="14" customWidth="1"/>
    <col min="3" max="3" width="15.1640625" style="36" customWidth="1"/>
    <col min="4" max="17" width="3.33203125" style="36" customWidth="1"/>
    <col min="18" max="32" width="3.33203125" style="16" customWidth="1"/>
    <col min="33" max="16384" width="9.1640625" style="14"/>
  </cols>
  <sheetData>
    <row r="1" spans="1:33" ht="21.75" customHeight="1" x14ac:dyDescent="0.2">
      <c r="C1" s="17" t="s">
        <v>143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3" s="19" customFormat="1" ht="68.25" customHeight="1" x14ac:dyDescent="0.15">
      <c r="B2" s="20"/>
      <c r="C2" s="50" t="s">
        <v>144</v>
      </c>
      <c r="D2" s="178">
        <v>43380</v>
      </c>
      <c r="E2" s="178">
        <v>43378</v>
      </c>
      <c r="F2" s="178">
        <v>43371</v>
      </c>
      <c r="G2" s="178">
        <v>43364</v>
      </c>
      <c r="H2" s="178">
        <v>43357</v>
      </c>
      <c r="I2" s="178">
        <v>43350</v>
      </c>
      <c r="J2" s="178">
        <v>43343</v>
      </c>
      <c r="K2" s="178">
        <v>43336</v>
      </c>
      <c r="L2" s="178">
        <v>43329</v>
      </c>
      <c r="M2" s="178">
        <v>43322</v>
      </c>
      <c r="N2" s="178">
        <v>43315</v>
      </c>
      <c r="O2" s="178">
        <v>43308</v>
      </c>
      <c r="P2" s="178">
        <v>43301</v>
      </c>
      <c r="Q2" s="178">
        <v>43294</v>
      </c>
      <c r="R2" s="178">
        <v>43287</v>
      </c>
      <c r="S2" s="178">
        <v>43280</v>
      </c>
      <c r="T2" s="178">
        <v>43273</v>
      </c>
      <c r="U2" s="178">
        <v>43266</v>
      </c>
      <c r="V2" s="178">
        <v>43259</v>
      </c>
      <c r="W2" s="178">
        <v>43252</v>
      </c>
      <c r="X2" s="178">
        <v>43245</v>
      </c>
      <c r="Y2" s="178">
        <v>43238</v>
      </c>
      <c r="Z2" s="178">
        <v>43231</v>
      </c>
      <c r="AA2" s="178">
        <v>43224</v>
      </c>
      <c r="AB2" s="178">
        <v>43217</v>
      </c>
      <c r="AC2" s="178">
        <v>43210</v>
      </c>
      <c r="AD2" s="178">
        <v>43203</v>
      </c>
      <c r="AE2" s="178">
        <v>43196</v>
      </c>
      <c r="AF2" s="178">
        <v>43189</v>
      </c>
    </row>
    <row r="3" spans="1:33" x14ac:dyDescent="0.2">
      <c r="B3" s="149" t="s">
        <v>25</v>
      </c>
      <c r="C3" s="150">
        <f t="shared" ref="C3:C26" si="0">SUM(D3:AF3)*50</f>
        <v>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3" s="23" customFormat="1" x14ac:dyDescent="0.2">
      <c r="B4" s="149" t="s">
        <v>41</v>
      </c>
      <c r="C4" s="150">
        <f t="shared" si="0"/>
        <v>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"/>
    </row>
    <row r="5" spans="1:33" x14ac:dyDescent="0.2">
      <c r="B5" s="149" t="s">
        <v>15</v>
      </c>
      <c r="C5" s="150">
        <f t="shared" si="0"/>
        <v>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3" s="24" customFormat="1" x14ac:dyDescent="0.2">
      <c r="A6" s="14"/>
      <c r="B6" s="149" t="s">
        <v>19</v>
      </c>
      <c r="C6" s="150">
        <f t="shared" si="0"/>
        <v>0</v>
      </c>
      <c r="D6" s="151"/>
      <c r="E6" s="151"/>
      <c r="F6" s="231"/>
      <c r="G6" s="151"/>
      <c r="H6" s="151"/>
      <c r="I6" s="151"/>
      <c r="J6" s="151"/>
      <c r="K6" s="151"/>
      <c r="L6" s="151"/>
      <c r="M6" s="231"/>
      <c r="N6" s="151"/>
      <c r="O6" s="151"/>
      <c r="P6" s="151"/>
      <c r="Q6" s="151"/>
      <c r="R6" s="151"/>
      <c r="S6" s="231"/>
      <c r="T6" s="231"/>
      <c r="U6" s="231"/>
      <c r="V6" s="151"/>
      <c r="W6" s="151"/>
      <c r="X6" s="231"/>
      <c r="Y6" s="151"/>
      <c r="Z6" s="151"/>
      <c r="AA6" s="151"/>
      <c r="AB6" s="231"/>
      <c r="AC6" s="151"/>
      <c r="AD6" s="231"/>
      <c r="AE6" s="231"/>
      <c r="AF6" s="231"/>
      <c r="AG6" s="14"/>
    </row>
    <row r="7" spans="1:33" s="24" customFormat="1" x14ac:dyDescent="0.2">
      <c r="A7" s="14"/>
      <c r="B7" s="149" t="s">
        <v>45</v>
      </c>
      <c r="C7" s="150">
        <f t="shared" si="0"/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231"/>
      <c r="T7" s="151"/>
      <c r="U7" s="151"/>
      <c r="V7" s="151"/>
      <c r="W7" s="151"/>
      <c r="X7" s="231"/>
      <c r="Y7" s="151"/>
      <c r="Z7" s="151"/>
      <c r="AA7" s="151"/>
      <c r="AB7" s="231"/>
      <c r="AC7" s="151"/>
      <c r="AD7" s="151"/>
      <c r="AE7" s="151"/>
      <c r="AF7" s="151"/>
      <c r="AG7" s="14"/>
    </row>
    <row r="8" spans="1:33" s="24" customFormat="1" x14ac:dyDescent="0.2">
      <c r="A8" s="14"/>
      <c r="B8" s="149" t="s">
        <v>31</v>
      </c>
      <c r="C8" s="150">
        <f t="shared" si="0"/>
        <v>0</v>
      </c>
      <c r="D8" s="231"/>
      <c r="E8" s="231"/>
      <c r="F8" s="151"/>
      <c r="G8" s="151"/>
      <c r="H8" s="231"/>
      <c r="I8" s="231"/>
      <c r="J8" s="231"/>
      <c r="K8" s="151"/>
      <c r="L8" s="151"/>
      <c r="M8" s="151"/>
      <c r="N8" s="151"/>
      <c r="O8" s="151"/>
      <c r="P8" s="151"/>
      <c r="Q8" s="151"/>
      <c r="R8" s="151"/>
      <c r="S8" s="151"/>
      <c r="T8" s="231"/>
      <c r="U8" s="231"/>
      <c r="V8" s="151"/>
      <c r="W8" s="151"/>
      <c r="X8" s="151"/>
      <c r="Y8" s="231"/>
      <c r="Z8" s="231"/>
      <c r="AA8" s="151"/>
      <c r="AB8" s="151"/>
      <c r="AC8" s="151"/>
      <c r="AD8" s="231"/>
      <c r="AE8" s="231"/>
      <c r="AF8" s="231"/>
      <c r="AG8" s="14"/>
    </row>
    <row r="9" spans="1:33" x14ac:dyDescent="0.2">
      <c r="B9" s="149" t="s">
        <v>35</v>
      </c>
      <c r="C9" s="150">
        <f t="shared" si="0"/>
        <v>0</v>
      </c>
      <c r="D9" s="151"/>
      <c r="E9" s="231"/>
      <c r="F9" s="23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231"/>
      <c r="T9" s="231"/>
      <c r="U9" s="151"/>
      <c r="V9" s="151"/>
      <c r="W9" s="151"/>
      <c r="X9" s="231"/>
      <c r="Y9" s="151"/>
      <c r="Z9" s="151"/>
      <c r="AA9" s="151"/>
      <c r="AB9" s="231"/>
      <c r="AC9" s="151"/>
      <c r="AD9" s="151"/>
      <c r="AE9" s="151"/>
      <c r="AF9" s="151"/>
    </row>
    <row r="10" spans="1:33" x14ac:dyDescent="0.2">
      <c r="B10" s="149" t="s">
        <v>29</v>
      </c>
      <c r="C10" s="150">
        <f t="shared" si="0"/>
        <v>0</v>
      </c>
      <c r="D10" s="151"/>
      <c r="E10" s="151"/>
      <c r="F10" s="151"/>
      <c r="G10" s="231"/>
      <c r="H10" s="231"/>
      <c r="I10" s="151"/>
      <c r="J10" s="151"/>
      <c r="K10" s="151"/>
      <c r="L10" s="151"/>
      <c r="M10" s="151"/>
      <c r="N10" s="231"/>
      <c r="O10" s="231"/>
      <c r="P10" s="151"/>
      <c r="Q10" s="151"/>
      <c r="R10" s="151"/>
      <c r="S10" s="151"/>
      <c r="T10" s="151"/>
      <c r="U10" s="151"/>
      <c r="V10" s="231"/>
      <c r="W10" s="151"/>
      <c r="X10" s="151"/>
      <c r="Y10" s="151"/>
      <c r="Z10" s="231"/>
      <c r="AA10" s="151"/>
      <c r="AB10" s="231"/>
      <c r="AC10" s="151"/>
      <c r="AD10" s="231"/>
      <c r="AE10" s="231"/>
      <c r="AF10" s="231"/>
    </row>
    <row r="11" spans="1:33" x14ac:dyDescent="0.2">
      <c r="A11" s="24"/>
      <c r="B11" s="149" t="s">
        <v>9</v>
      </c>
      <c r="C11" s="150">
        <f t="shared" si="0"/>
        <v>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</row>
    <row r="12" spans="1:33" x14ac:dyDescent="0.2">
      <c r="B12" s="149" t="s">
        <v>11</v>
      </c>
      <c r="C12" s="150">
        <f t="shared" si="0"/>
        <v>0</v>
      </c>
      <c r="D12" s="151"/>
      <c r="E12" s="151"/>
      <c r="F12" s="23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231"/>
      <c r="U12" s="151"/>
      <c r="V12" s="151"/>
      <c r="W12" s="151"/>
      <c r="X12" s="231"/>
      <c r="Y12" s="151"/>
      <c r="Z12" s="231"/>
      <c r="AA12" s="151"/>
      <c r="AB12" s="151"/>
      <c r="AC12" s="151"/>
      <c r="AD12" s="151"/>
      <c r="AE12" s="151"/>
      <c r="AF12" s="151"/>
    </row>
    <row r="13" spans="1:33" x14ac:dyDescent="0.2">
      <c r="A13" s="24"/>
      <c r="B13" s="149" t="s">
        <v>13</v>
      </c>
      <c r="C13" s="150">
        <f t="shared" si="0"/>
        <v>0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</row>
    <row r="14" spans="1:33" x14ac:dyDescent="0.2">
      <c r="A14" s="24"/>
      <c r="B14" s="149" t="s">
        <v>17</v>
      </c>
      <c r="C14" s="150">
        <f t="shared" si="0"/>
        <v>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231"/>
      <c r="V14" s="151"/>
      <c r="W14" s="151"/>
      <c r="X14" s="151"/>
      <c r="Y14" s="151"/>
      <c r="Z14" s="231"/>
      <c r="AA14" s="151"/>
      <c r="AB14" s="151"/>
      <c r="AC14" s="151"/>
      <c r="AD14" s="151"/>
      <c r="AE14" s="151"/>
      <c r="AF14" s="151"/>
    </row>
    <row r="15" spans="1:33" s="24" customFormat="1" x14ac:dyDescent="0.2">
      <c r="A15" s="14"/>
      <c r="B15" s="149" t="s">
        <v>21</v>
      </c>
      <c r="C15" s="150">
        <f t="shared" si="0"/>
        <v>0</v>
      </c>
      <c r="D15" s="151"/>
      <c r="E15" s="151"/>
      <c r="F15" s="231"/>
      <c r="G15" s="151"/>
      <c r="H15" s="151"/>
      <c r="I15" s="151"/>
      <c r="J15" s="151"/>
      <c r="K15" s="151"/>
      <c r="L15" s="151"/>
      <c r="M15" s="231"/>
      <c r="N15" s="151"/>
      <c r="O15" s="151"/>
      <c r="P15" s="151"/>
      <c r="Q15" s="151"/>
      <c r="R15" s="151"/>
      <c r="S15" s="231"/>
      <c r="T15" s="231"/>
      <c r="U15" s="231"/>
      <c r="V15" s="151"/>
      <c r="W15" s="151"/>
      <c r="X15" s="231"/>
      <c r="Y15" s="151"/>
      <c r="Z15" s="151"/>
      <c r="AA15" s="151"/>
      <c r="AB15" s="231"/>
      <c r="AC15" s="151"/>
      <c r="AD15" s="231"/>
      <c r="AE15" s="231"/>
      <c r="AF15" s="231"/>
      <c r="AG15" s="14"/>
    </row>
    <row r="16" spans="1:33" x14ac:dyDescent="0.2">
      <c r="B16" s="149" t="s">
        <v>23</v>
      </c>
      <c r="C16" s="150">
        <f t="shared" si="0"/>
        <v>0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</row>
    <row r="17" spans="2:32" x14ac:dyDescent="0.2">
      <c r="B17" s="149" t="s">
        <v>27</v>
      </c>
      <c r="C17" s="150">
        <f t="shared" si="0"/>
        <v>0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</row>
    <row r="18" spans="2:32" x14ac:dyDescent="0.2">
      <c r="B18" s="149" t="s">
        <v>33</v>
      </c>
      <c r="C18" s="150">
        <f t="shared" si="0"/>
        <v>0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</row>
    <row r="19" spans="2:32" x14ac:dyDescent="0.2">
      <c r="B19" s="149" t="s">
        <v>37</v>
      </c>
      <c r="C19" s="150">
        <f t="shared" si="0"/>
        <v>0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23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</row>
    <row r="20" spans="2:32" x14ac:dyDescent="0.2">
      <c r="B20" s="149" t="s">
        <v>39</v>
      </c>
      <c r="C20" s="150">
        <f t="shared" si="0"/>
        <v>0</v>
      </c>
      <c r="D20" s="231"/>
      <c r="E20" s="151"/>
      <c r="F20" s="231"/>
      <c r="G20" s="151"/>
      <c r="H20" s="231"/>
      <c r="I20" s="231"/>
      <c r="J20" s="151"/>
      <c r="K20" s="151"/>
      <c r="L20" s="151"/>
      <c r="M20" s="151"/>
      <c r="N20" s="151"/>
      <c r="O20" s="151"/>
      <c r="P20" s="151"/>
      <c r="Q20" s="231"/>
      <c r="R20" s="151"/>
      <c r="S20" s="231"/>
      <c r="T20" s="231"/>
      <c r="U20" s="151"/>
      <c r="V20" s="151"/>
      <c r="W20" s="151"/>
      <c r="X20" s="151"/>
      <c r="Y20" s="151"/>
      <c r="Z20" s="151"/>
      <c r="AA20" s="151"/>
      <c r="AB20" s="151"/>
      <c r="AC20" s="151"/>
      <c r="AD20" s="231"/>
      <c r="AE20" s="231"/>
      <c r="AF20" s="231"/>
    </row>
    <row r="21" spans="2:32" x14ac:dyDescent="0.2">
      <c r="B21" s="149" t="s">
        <v>43</v>
      </c>
      <c r="C21" s="150">
        <f t="shared" si="0"/>
        <v>0</v>
      </c>
      <c r="D21" s="231"/>
      <c r="E21" s="151"/>
      <c r="F21" s="231"/>
      <c r="G21" s="151"/>
      <c r="H21" s="231"/>
      <c r="I21" s="231"/>
      <c r="J21" s="151"/>
      <c r="K21" s="151"/>
      <c r="L21" s="151"/>
      <c r="M21" s="151"/>
      <c r="N21" s="151"/>
      <c r="O21" s="151"/>
      <c r="P21" s="151"/>
      <c r="Q21" s="151"/>
      <c r="R21" s="151"/>
      <c r="S21" s="231"/>
      <c r="T21" s="231"/>
      <c r="U21" s="151"/>
      <c r="V21" s="151"/>
      <c r="W21" s="151"/>
      <c r="X21" s="231"/>
      <c r="Y21" s="151"/>
      <c r="Z21" s="231"/>
      <c r="AA21" s="151"/>
      <c r="AB21" s="151"/>
      <c r="AC21" s="231"/>
      <c r="AD21" s="231"/>
      <c r="AE21" s="231"/>
      <c r="AF21" s="231"/>
    </row>
    <row r="22" spans="2:32" x14ac:dyDescent="0.2">
      <c r="B22" s="149" t="s">
        <v>47</v>
      </c>
      <c r="C22" s="150">
        <f t="shared" si="0"/>
        <v>0</v>
      </c>
      <c r="D22" s="151"/>
      <c r="E22" s="151"/>
      <c r="F22" s="151"/>
      <c r="G22" s="151"/>
      <c r="H22" s="231"/>
      <c r="I22" s="151"/>
      <c r="J22" s="23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23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</row>
    <row r="23" spans="2:32" x14ac:dyDescent="0.2">
      <c r="B23" s="149" t="s">
        <v>49</v>
      </c>
      <c r="C23" s="150">
        <f t="shared" si="0"/>
        <v>0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231"/>
      <c r="P23" s="151"/>
      <c r="Q23" s="151"/>
      <c r="R23" s="151"/>
      <c r="S23" s="151"/>
      <c r="T23" s="151"/>
      <c r="U23" s="231"/>
      <c r="V23" s="151"/>
      <c r="W23" s="231"/>
      <c r="X23" s="231"/>
      <c r="Y23" s="231"/>
      <c r="Z23" s="151"/>
      <c r="AA23" s="151"/>
      <c r="AB23" s="151"/>
      <c r="AC23" s="151"/>
      <c r="AD23" s="231"/>
      <c r="AE23" s="231"/>
      <c r="AF23" s="231"/>
    </row>
    <row r="24" spans="2:32" x14ac:dyDescent="0.2">
      <c r="B24" s="149" t="s">
        <v>148</v>
      </c>
      <c r="C24" s="150">
        <f t="shared" si="0"/>
        <v>0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</row>
    <row r="25" spans="2:32" x14ac:dyDescent="0.2">
      <c r="B25" s="149" t="s">
        <v>51</v>
      </c>
      <c r="C25" s="150">
        <f t="shared" si="0"/>
        <v>0</v>
      </c>
      <c r="D25" s="151"/>
      <c r="E25" s="151"/>
      <c r="F25" s="151"/>
      <c r="G25" s="151"/>
      <c r="H25" s="151"/>
      <c r="I25" s="23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</row>
    <row r="26" spans="2:32" x14ac:dyDescent="0.2">
      <c r="B26" s="152" t="s">
        <v>53</v>
      </c>
      <c r="C26" s="150">
        <f t="shared" si="0"/>
        <v>0</v>
      </c>
      <c r="D26" s="154"/>
      <c r="E26" s="154"/>
      <c r="F26" s="154"/>
      <c r="G26" s="154"/>
      <c r="H26" s="154"/>
      <c r="I26" s="154"/>
      <c r="J26" s="154"/>
      <c r="K26" s="151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1"/>
      <c r="X26" s="154"/>
      <c r="Y26" s="154"/>
      <c r="Z26" s="154"/>
      <c r="AA26" s="154"/>
      <c r="AB26" s="154"/>
      <c r="AC26" s="154"/>
      <c r="AD26" s="154"/>
      <c r="AE26" s="154"/>
      <c r="AF26" s="154"/>
    </row>
    <row r="27" spans="2:32" x14ac:dyDescent="0.2">
      <c r="D27" s="43">
        <f t="shared" ref="D27:AF27" si="1">SUM(D3:D26)</f>
        <v>0</v>
      </c>
      <c r="E27" s="43">
        <f t="shared" si="1"/>
        <v>0</v>
      </c>
      <c r="F27" s="43">
        <f t="shared" si="1"/>
        <v>0</v>
      </c>
      <c r="G27" s="43">
        <f t="shared" si="1"/>
        <v>0</v>
      </c>
      <c r="H27" s="43">
        <f t="shared" si="1"/>
        <v>0</v>
      </c>
      <c r="I27" s="43">
        <f t="shared" si="1"/>
        <v>0</v>
      </c>
      <c r="J27" s="43">
        <f t="shared" si="1"/>
        <v>0</v>
      </c>
      <c r="K27" s="43">
        <f t="shared" si="1"/>
        <v>0</v>
      </c>
      <c r="L27" s="43">
        <f t="shared" si="1"/>
        <v>0</v>
      </c>
      <c r="M27" s="43">
        <f t="shared" si="1"/>
        <v>0</v>
      </c>
      <c r="N27" s="43">
        <f t="shared" si="1"/>
        <v>0</v>
      </c>
      <c r="O27" s="43">
        <f t="shared" si="1"/>
        <v>0</v>
      </c>
      <c r="P27" s="43">
        <f t="shared" si="1"/>
        <v>0</v>
      </c>
      <c r="Q27" s="43">
        <f t="shared" si="1"/>
        <v>0</v>
      </c>
      <c r="R27" s="43">
        <f t="shared" si="1"/>
        <v>0</v>
      </c>
      <c r="S27" s="43">
        <f t="shared" si="1"/>
        <v>0</v>
      </c>
      <c r="T27" s="43">
        <f t="shared" si="1"/>
        <v>0</v>
      </c>
      <c r="U27" s="43">
        <f t="shared" si="1"/>
        <v>0</v>
      </c>
      <c r="V27" s="43">
        <f t="shared" si="1"/>
        <v>0</v>
      </c>
      <c r="W27" s="43">
        <f t="shared" si="1"/>
        <v>0</v>
      </c>
      <c r="X27" s="43">
        <f t="shared" si="1"/>
        <v>0</v>
      </c>
      <c r="Y27" s="43">
        <f t="shared" si="1"/>
        <v>0</v>
      </c>
      <c r="Z27" s="43">
        <f t="shared" si="1"/>
        <v>0</v>
      </c>
      <c r="AA27" s="43">
        <f t="shared" si="1"/>
        <v>0</v>
      </c>
      <c r="AB27" s="43">
        <f t="shared" si="1"/>
        <v>0</v>
      </c>
      <c r="AC27" s="43">
        <f t="shared" si="1"/>
        <v>0</v>
      </c>
      <c r="AD27" s="43">
        <f t="shared" si="1"/>
        <v>0</v>
      </c>
      <c r="AE27" s="43">
        <f t="shared" si="1"/>
        <v>0</v>
      </c>
      <c r="AF27" s="43">
        <f t="shared" si="1"/>
        <v>0</v>
      </c>
    </row>
    <row r="28" spans="2:32" x14ac:dyDescent="0.2">
      <c r="B28" s="184"/>
      <c r="C28" s="47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</row>
  </sheetData>
  <sheetProtection selectLockedCells="1" selectUnlockedCells="1"/>
  <autoFilter ref="B2:AF2" xr:uid="{00000000-0009-0000-0000-000029000000}">
    <sortState ref="B3:AI27">
      <sortCondition descending="1" ref="C2:C27"/>
    </sortState>
  </autoFilter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Ark44">
    <pageSetUpPr fitToPage="1"/>
  </sheetPr>
  <dimension ref="A1:H31"/>
  <sheetViews>
    <sheetView workbookViewId="0">
      <selection activeCell="G28" sqref="G28"/>
    </sheetView>
  </sheetViews>
  <sheetFormatPr baseColWidth="10" defaultColWidth="11.5" defaultRowHeight="13" x14ac:dyDescent="0.15"/>
  <cols>
    <col min="1" max="1" width="9.33203125" customWidth="1"/>
    <col min="3" max="3" width="43" customWidth="1"/>
    <col min="4" max="4" width="21.6640625" style="192" customWidth="1"/>
    <col min="5" max="5" width="12.1640625" style="10" customWidth="1"/>
    <col min="6" max="6" width="21.6640625" style="192" bestFit="1" customWidth="1"/>
    <col min="7" max="7" width="18.33203125" style="192" customWidth="1"/>
  </cols>
  <sheetData>
    <row r="1" spans="1:8" ht="29" x14ac:dyDescent="0.35">
      <c r="A1" s="462" t="s">
        <v>206</v>
      </c>
      <c r="B1" s="462"/>
      <c r="C1" s="462"/>
      <c r="D1" s="462"/>
      <c r="E1" s="462"/>
      <c r="F1" s="462"/>
      <c r="G1" s="462"/>
    </row>
    <row r="2" spans="1:8" s="10" customFormat="1" ht="16" x14ac:dyDescent="0.2">
      <c r="A2" s="155" t="s">
        <v>74</v>
      </c>
      <c r="B2" s="155" t="s">
        <v>116</v>
      </c>
      <c r="C2" s="155" t="s">
        <v>117</v>
      </c>
      <c r="D2" s="155" t="s">
        <v>130</v>
      </c>
      <c r="E2" s="155" t="s">
        <v>131</v>
      </c>
      <c r="F2" s="155" t="s">
        <v>132</v>
      </c>
      <c r="G2" s="285" t="s">
        <v>137</v>
      </c>
      <c r="H2" s="123"/>
    </row>
    <row r="3" spans="1:8" ht="16" x14ac:dyDescent="0.2">
      <c r="A3" s="369">
        <v>43202</v>
      </c>
      <c r="B3" s="370">
        <f>'Tourplan m. sløjfer'!C11</f>
        <v>6000000</v>
      </c>
      <c r="C3" s="371" t="str">
        <f>'Tourplan m. sløjfer'!D11</f>
        <v xml:space="preserve">RBC Heritage </v>
      </c>
      <c r="D3" s="372" t="str">
        <f>'12-04'!A4</f>
        <v>Claus Jessen</v>
      </c>
      <c r="E3" s="370">
        <f>'12-04'!C4</f>
        <v>34</v>
      </c>
      <c r="F3" s="372" t="str">
        <f>'12-04'!A11</f>
        <v>Hans Martin Vestergaard</v>
      </c>
      <c r="G3" s="373">
        <f>'12-04'!E11</f>
        <v>20.18</v>
      </c>
    </row>
    <row r="4" spans="1:8" ht="16" x14ac:dyDescent="0.2">
      <c r="A4" s="369">
        <v>43209</v>
      </c>
      <c r="B4" s="370">
        <f>'Tourplan m. sløjfer'!C12</f>
        <v>6000000</v>
      </c>
      <c r="C4" s="378" t="s">
        <v>112</v>
      </c>
      <c r="D4" s="331" t="str">
        <f>'19-04'!A4</f>
        <v>Jens Laigaard</v>
      </c>
      <c r="E4" s="328">
        <f>'19-04'!C4</f>
        <v>38</v>
      </c>
      <c r="F4" s="375" t="str">
        <f>'19-04'!A8</f>
        <v>Carsten Lund</v>
      </c>
      <c r="G4" s="397">
        <f>'19-04'!E8</f>
        <v>2.42</v>
      </c>
    </row>
    <row r="5" spans="1:8" ht="16" x14ac:dyDescent="0.2">
      <c r="A5" s="369">
        <v>43216</v>
      </c>
      <c r="B5" s="370">
        <f>'Tourplan m. sløjfer'!C13</f>
        <v>6000000</v>
      </c>
      <c r="C5" s="371" t="str">
        <f>'Tourplan m. sløjfer'!D13</f>
        <v xml:space="preserve">Zurich Classic of New Orleans </v>
      </c>
      <c r="D5" s="331" t="str">
        <f>'26-04'!A4</f>
        <v>Robin Thybo</v>
      </c>
      <c r="E5" s="328">
        <f>'19-04'!C4</f>
        <v>38</v>
      </c>
      <c r="F5" s="375" t="str">
        <f>'26-04'!A18</f>
        <v>Erik M. Pedersen</v>
      </c>
      <c r="G5" s="397">
        <f>'19-04'!E18</f>
        <v>0</v>
      </c>
    </row>
    <row r="6" spans="1:8" ht="16" x14ac:dyDescent="0.2">
      <c r="A6" s="403">
        <v>43223</v>
      </c>
      <c r="B6" s="404">
        <f>'Tourplan m. sløjfer'!C14</f>
        <v>6000000</v>
      </c>
      <c r="C6" s="409" t="str">
        <f>'Tourplan m. sløjfer'!D14</f>
        <v xml:space="preserve">Wells Fargo Championship </v>
      </c>
      <c r="D6" s="410" t="str">
        <f>'03-05'!A4</f>
        <v>Carsten Dahl</v>
      </c>
      <c r="E6" s="411" t="s">
        <v>252</v>
      </c>
      <c r="F6" s="412" t="str">
        <f>'03-05'!A6</f>
        <v>Jan Hegner</v>
      </c>
      <c r="G6" s="408">
        <v>3.52</v>
      </c>
    </row>
    <row r="7" spans="1:8" ht="16" x14ac:dyDescent="0.2">
      <c r="A7" s="369">
        <v>43230</v>
      </c>
      <c r="B7" s="370">
        <f>'Tourplan m. sløjfer'!C15</f>
        <v>6000000</v>
      </c>
      <c r="C7" s="371" t="str">
        <f>'Tourplan m. sløjfer'!D15</f>
        <v xml:space="preserve">THE PLAYERS Championship </v>
      </c>
      <c r="D7" s="331" t="str">
        <f>'10-05'!A4</f>
        <v>Henning B. Nielsen</v>
      </c>
      <c r="E7" s="328">
        <f>'10-05'!C4</f>
        <v>72</v>
      </c>
      <c r="F7" s="329" t="s">
        <v>42</v>
      </c>
      <c r="G7" s="334">
        <v>2.84</v>
      </c>
    </row>
    <row r="8" spans="1:8" ht="16" x14ac:dyDescent="0.2">
      <c r="A8" s="369">
        <v>43237</v>
      </c>
      <c r="B8" s="370">
        <f>'Tourplan m. sløjfer'!C16</f>
        <v>6000000</v>
      </c>
      <c r="C8" s="371" t="str">
        <f>'Tourplan m. sløjfer'!D16</f>
        <v xml:space="preserve">AT&amp;T Byron Nelson </v>
      </c>
      <c r="D8" s="331" t="str">
        <f>'17-05'!A4</f>
        <v>Jan Hegner</v>
      </c>
      <c r="E8" s="330" t="s">
        <v>243</v>
      </c>
      <c r="F8" s="331" t="s">
        <v>10</v>
      </c>
      <c r="G8" s="334">
        <v>1.77</v>
      </c>
    </row>
    <row r="9" spans="1:8" ht="16" x14ac:dyDescent="0.2">
      <c r="A9" s="369">
        <v>43244</v>
      </c>
      <c r="B9" s="370">
        <f>'Tourplan m. sløjfer'!C17</f>
        <v>6000000</v>
      </c>
      <c r="C9" s="371" t="str">
        <f>'Tourplan m. sløjfer'!D17</f>
        <v xml:space="preserve">Fort Worth Invitational </v>
      </c>
      <c r="D9" s="331" t="str">
        <f>'24-05'!A4</f>
        <v>Jesper Vohs Nielsen</v>
      </c>
      <c r="E9" s="328" t="s">
        <v>242</v>
      </c>
      <c r="F9" s="331" t="s">
        <v>44</v>
      </c>
      <c r="G9" s="334">
        <v>1.39</v>
      </c>
    </row>
    <row r="10" spans="1:8" ht="16" x14ac:dyDescent="0.2">
      <c r="A10" s="369">
        <v>43251</v>
      </c>
      <c r="B10" s="370">
        <f>'Tourplan m. sløjfer'!C18</f>
        <v>6000000</v>
      </c>
      <c r="C10" s="371" t="str">
        <f>'Tourplan m. sløjfer'!D18</f>
        <v xml:space="preserve">the Memorial Tournament presented by Nationwide </v>
      </c>
      <c r="D10" s="331" t="str">
        <f>'31-05'!A4</f>
        <v>Jesper Vohs Nielsen</v>
      </c>
      <c r="E10" s="328" t="s">
        <v>244</v>
      </c>
      <c r="F10" s="331" t="s">
        <v>34</v>
      </c>
      <c r="G10" s="334">
        <v>13.68</v>
      </c>
    </row>
    <row r="11" spans="1:8" ht="16" x14ac:dyDescent="0.2">
      <c r="A11" s="403">
        <v>43258</v>
      </c>
      <c r="B11" s="404">
        <f>'Tourplan m. sløjfer'!C20</f>
        <v>6000000</v>
      </c>
      <c r="C11" s="405" t="s">
        <v>108</v>
      </c>
      <c r="D11" s="406" t="str">
        <f>'07-06'!A4</f>
        <v>Børge Heiberg</v>
      </c>
      <c r="E11" s="407" t="s">
        <v>251</v>
      </c>
      <c r="F11" s="406" t="str">
        <f>'07-06'!A5</f>
        <v>Steen Nybo</v>
      </c>
      <c r="G11" s="408">
        <v>6.04</v>
      </c>
    </row>
    <row r="12" spans="1:8" ht="16" x14ac:dyDescent="0.2">
      <c r="A12" s="369">
        <v>43265</v>
      </c>
      <c r="B12" s="370">
        <v>8000000</v>
      </c>
      <c r="C12" s="378" t="s">
        <v>107</v>
      </c>
      <c r="D12" s="331" t="str">
        <f>'14-06'!A4</f>
        <v>Jan Hegner</v>
      </c>
      <c r="E12" s="330">
        <v>72</v>
      </c>
      <c r="F12" s="340" t="str">
        <f>'14-06'!A4</f>
        <v>Jan Hegner</v>
      </c>
      <c r="G12" s="334">
        <v>8.08</v>
      </c>
    </row>
    <row r="13" spans="1:8" ht="16" x14ac:dyDescent="0.2">
      <c r="A13" s="369">
        <v>43272</v>
      </c>
      <c r="B13" s="370">
        <f>'Tourplan m. sløjfer'!C23</f>
        <v>6000000</v>
      </c>
      <c r="C13" s="371" t="s">
        <v>193</v>
      </c>
      <c r="D13" s="331" t="str">
        <f>'21-06'!A4</f>
        <v>Jakob Kristensen</v>
      </c>
      <c r="E13" s="330" t="s">
        <v>252</v>
      </c>
      <c r="F13" s="331" t="str">
        <f>'21-06'!A8</f>
        <v>Bo Hansen</v>
      </c>
      <c r="G13" s="334">
        <v>5.36</v>
      </c>
    </row>
    <row r="14" spans="1:8" ht="16" x14ac:dyDescent="0.2">
      <c r="A14" s="369">
        <v>43279</v>
      </c>
      <c r="B14" s="370">
        <f>'Tourplan m. sløjfer'!C24</f>
        <v>6000000</v>
      </c>
      <c r="C14" s="371" t="s">
        <v>169</v>
      </c>
      <c r="D14" s="331" t="str">
        <f>'28-06'!A4</f>
        <v>Jesper Vohs Nielsen</v>
      </c>
      <c r="E14" s="376" t="s">
        <v>251</v>
      </c>
      <c r="F14" s="331" t="s">
        <v>28</v>
      </c>
      <c r="G14" s="334">
        <v>10.8</v>
      </c>
    </row>
    <row r="15" spans="1:8" ht="16" x14ac:dyDescent="0.2">
      <c r="A15" s="403">
        <v>43286</v>
      </c>
      <c r="B15" s="404">
        <f>'Tourplan m. sløjfer'!C25</f>
        <v>6000000</v>
      </c>
      <c r="C15" s="409" t="s">
        <v>149</v>
      </c>
      <c r="D15" s="406" t="str">
        <f>'05-07'!A4</f>
        <v>John Sørensen</v>
      </c>
      <c r="E15" s="413" t="s">
        <v>281</v>
      </c>
      <c r="F15" s="406" t="str">
        <f>'05-07'!A4</f>
        <v>John Sørensen</v>
      </c>
      <c r="G15" s="408">
        <v>2.2799999999999998</v>
      </c>
    </row>
    <row r="16" spans="1:8" ht="16" x14ac:dyDescent="0.2">
      <c r="A16" s="369">
        <v>43293</v>
      </c>
      <c r="B16" s="370">
        <v>8000000</v>
      </c>
      <c r="C16" s="378" t="s">
        <v>195</v>
      </c>
      <c r="D16" s="331" t="str">
        <f>'12-07'!A4</f>
        <v>Henning B. Nielsen</v>
      </c>
      <c r="E16" s="328" t="s">
        <v>281</v>
      </c>
      <c r="F16" s="331" t="str">
        <f>'12-07'!A18</f>
        <v>Per Nørsten</v>
      </c>
      <c r="G16" s="334">
        <v>3.37</v>
      </c>
    </row>
    <row r="17" spans="1:7" ht="16" x14ac:dyDescent="0.2">
      <c r="A17" s="369">
        <v>43300</v>
      </c>
      <c r="B17" s="370">
        <f>'Tourplan m. sløjfer'!C27</f>
        <v>6000000</v>
      </c>
      <c r="C17" s="378" t="s">
        <v>196</v>
      </c>
      <c r="D17" s="331" t="str">
        <f>'19-07'!A4</f>
        <v>Jesper Vohs Nielsen</v>
      </c>
      <c r="E17" s="328" t="s">
        <v>282</v>
      </c>
      <c r="F17" s="331" t="s">
        <v>283</v>
      </c>
      <c r="G17" s="334" t="s">
        <v>99</v>
      </c>
    </row>
    <row r="18" spans="1:7" ht="16" x14ac:dyDescent="0.2">
      <c r="A18" s="369">
        <v>43307</v>
      </c>
      <c r="B18" s="370">
        <f>'Tourplan m. sløjfer'!C26</f>
        <v>8000000</v>
      </c>
      <c r="C18" s="381" t="s">
        <v>171</v>
      </c>
      <c r="D18" s="192" t="str">
        <f>'26-07'!A4</f>
        <v>Carsten Lund</v>
      </c>
      <c r="E18" s="10" t="s">
        <v>243</v>
      </c>
      <c r="F18" s="340" t="str">
        <f>'26-07'!A6</f>
        <v>Steen Nybo</v>
      </c>
      <c r="G18" s="334">
        <v>6.67</v>
      </c>
    </row>
    <row r="19" spans="1:7" ht="16" x14ac:dyDescent="0.2">
      <c r="A19" s="403">
        <v>43314</v>
      </c>
      <c r="B19" s="404">
        <f>'Tourplan m. sløjfer'!C29</f>
        <v>6000000</v>
      </c>
      <c r="C19" s="409" t="str">
        <f>'Tourplan m. sløjfer'!D28</f>
        <v xml:space="preserve">WGC - Bridgestone Invitational </v>
      </c>
      <c r="D19" s="406" t="str">
        <f>'02-08'!A4</f>
        <v>Erik M. Pedersen</v>
      </c>
      <c r="E19" s="407" t="s">
        <v>244</v>
      </c>
      <c r="F19" s="406" t="str">
        <f>'02-08'!A14</f>
        <v>Martin Andersen</v>
      </c>
      <c r="G19" s="408">
        <v>1.75</v>
      </c>
    </row>
    <row r="20" spans="1:7" ht="16" x14ac:dyDescent="0.2">
      <c r="A20" s="369">
        <v>43321</v>
      </c>
      <c r="B20" s="370">
        <v>8000000</v>
      </c>
      <c r="C20" s="371" t="str">
        <f>'Tourplan m. sløjfer'!D29</f>
        <v xml:space="preserve">PGA CHAMPIONSHIP </v>
      </c>
      <c r="D20" s="331" t="str">
        <f>'09-08'!A4</f>
        <v>Bo Hansen</v>
      </c>
      <c r="E20" s="330" t="s">
        <v>284</v>
      </c>
      <c r="F20" s="331" t="str">
        <f>'09-08'!A11</f>
        <v>Jan Hegner</v>
      </c>
      <c r="G20" s="334">
        <v>10.59</v>
      </c>
    </row>
    <row r="21" spans="1:7" ht="16" x14ac:dyDescent="0.2">
      <c r="A21" s="369">
        <v>43328</v>
      </c>
      <c r="B21" s="370">
        <f>'Tourplan m. sløjfer'!C31</f>
        <v>6000000</v>
      </c>
      <c r="C21" s="371" t="s">
        <v>141</v>
      </c>
      <c r="D21" s="331" t="str">
        <f>'16-08'!A4</f>
        <v>John Sørensen</v>
      </c>
      <c r="E21" s="328" t="s">
        <v>252</v>
      </c>
      <c r="F21" s="377" t="str">
        <f>'16-08'!A8</f>
        <v>Robin Thybo</v>
      </c>
      <c r="G21" s="334">
        <v>1.67</v>
      </c>
    </row>
    <row r="22" spans="1:7" ht="16" x14ac:dyDescent="0.2">
      <c r="A22" s="369">
        <v>43335</v>
      </c>
      <c r="B22" s="370">
        <f>'Tourplan m. sløjfer'!C32</f>
        <v>6000000</v>
      </c>
      <c r="C22" s="378" t="s">
        <v>210</v>
      </c>
      <c r="D22" s="331" t="s">
        <v>285</v>
      </c>
      <c r="E22" s="328">
        <v>103</v>
      </c>
      <c r="F22" s="340" t="str">
        <f>'23-08'!A8</f>
        <v>Steen Nybo</v>
      </c>
      <c r="G22" s="334">
        <v>3.37</v>
      </c>
    </row>
    <row r="23" spans="1:7" ht="16" x14ac:dyDescent="0.2">
      <c r="A23" s="369">
        <v>43342</v>
      </c>
      <c r="B23" s="370">
        <f>'Tourplan m. sløjfer'!C33</f>
        <v>6000000</v>
      </c>
      <c r="C23" s="378" t="s">
        <v>150</v>
      </c>
      <c r="D23" s="331" t="str">
        <f>'30-08'!A4</f>
        <v>Jesper Vohs Nielsen</v>
      </c>
      <c r="E23" s="330" t="s">
        <v>251</v>
      </c>
      <c r="F23" s="331" t="str">
        <f>'30-08'!A6</f>
        <v>Jakob Kristensen</v>
      </c>
      <c r="G23" s="334">
        <v>2.33</v>
      </c>
    </row>
    <row r="24" spans="1:7" ht="16" x14ac:dyDescent="0.2">
      <c r="A24" s="403">
        <v>43349</v>
      </c>
      <c r="B24" s="404">
        <f>'Tourplan m. sløjfer'!C35</f>
        <v>6000000</v>
      </c>
      <c r="C24" s="405" t="s">
        <v>200</v>
      </c>
      <c r="D24" s="406" t="str">
        <f>'06-09'!A4</f>
        <v>Karsten Valeur</v>
      </c>
      <c r="E24" s="413"/>
      <c r="F24" s="406" t="str">
        <f>'06-09'!A10</f>
        <v>Carsten Dahl</v>
      </c>
      <c r="G24" s="408"/>
    </row>
    <row r="25" spans="1:7" ht="16" x14ac:dyDescent="0.2">
      <c r="A25" s="369">
        <v>43356</v>
      </c>
      <c r="B25" s="370">
        <v>6000000</v>
      </c>
      <c r="C25" s="371" t="str">
        <f>'Tourplan m. sløjfer'!D35</f>
        <v>InnGolf Closed</v>
      </c>
      <c r="D25" s="331" t="str">
        <f>'13-09'!A4</f>
        <v>Robin Thybo</v>
      </c>
      <c r="E25" s="330" t="s">
        <v>242</v>
      </c>
      <c r="F25" s="331" t="str">
        <f>'13-09'!A10</f>
        <v>Karsten Valeur</v>
      </c>
      <c r="G25" s="334">
        <v>0.72</v>
      </c>
    </row>
    <row r="26" spans="1:7" ht="16" x14ac:dyDescent="0.2">
      <c r="A26" s="369">
        <v>43363</v>
      </c>
      <c r="B26" s="370">
        <v>7000000</v>
      </c>
      <c r="C26" s="371" t="str">
        <f>'Tourplan m. sløjfer'!D36</f>
        <v xml:space="preserve">TOUR Championship </v>
      </c>
      <c r="D26" s="331" t="str">
        <f>'20-09'!A4</f>
        <v>Morten Clausen</v>
      </c>
      <c r="E26" s="328" t="s">
        <v>281</v>
      </c>
      <c r="F26" s="331" t="str">
        <f>'20-09'!A9</f>
        <v>Steen Nybo</v>
      </c>
      <c r="G26" s="334">
        <v>5.22</v>
      </c>
    </row>
    <row r="27" spans="1:7" ht="16" x14ac:dyDescent="0.2">
      <c r="A27" s="369">
        <v>43370</v>
      </c>
      <c r="B27" s="370">
        <f>'Tourplan m. sløjfer'!C37</f>
        <v>8000000</v>
      </c>
      <c r="C27" s="371" t="str">
        <f>'Tourplan m. sløjfer'!D37</f>
        <v>Ryder Cup</v>
      </c>
      <c r="D27" s="331" t="str">
        <f>'27-09'!A4</f>
        <v>Morten Clausen</v>
      </c>
      <c r="E27" s="376" t="s">
        <v>304</v>
      </c>
      <c r="F27" s="331" t="str">
        <f>'27-09'!A9</f>
        <v>Erik M. Pedersen</v>
      </c>
      <c r="G27" s="334">
        <v>3.49</v>
      </c>
    </row>
    <row r="28" spans="1:7" ht="17" thickBot="1" x14ac:dyDescent="0.25">
      <c r="A28" s="369">
        <v>43377</v>
      </c>
      <c r="B28" s="374">
        <v>9000000</v>
      </c>
      <c r="C28" s="383" t="s">
        <v>142</v>
      </c>
      <c r="D28" s="384"/>
      <c r="E28" s="385"/>
      <c r="F28" s="384"/>
      <c r="G28" s="335"/>
    </row>
    <row r="29" spans="1:7" ht="16" x14ac:dyDescent="0.2">
      <c r="A29" s="369">
        <v>43379</v>
      </c>
      <c r="B29" s="370">
        <f>'Tourplan m. sløjfer'!C39</f>
        <v>10000000</v>
      </c>
      <c r="C29" s="378" t="s">
        <v>202</v>
      </c>
      <c r="D29" s="331"/>
      <c r="E29" s="330"/>
      <c r="F29" s="331"/>
      <c r="G29" s="334"/>
    </row>
    <row r="30" spans="1:7" ht="16" x14ac:dyDescent="0.2">
      <c r="A30" s="124"/>
      <c r="B30" s="126"/>
      <c r="C30" s="125"/>
      <c r="E30" s="318"/>
      <c r="F30" s="319"/>
      <c r="G30" s="319"/>
    </row>
    <row r="31" spans="1:7" x14ac:dyDescent="0.15">
      <c r="E31" s="318"/>
      <c r="F31" s="319"/>
      <c r="G31" s="319"/>
    </row>
  </sheetData>
  <sheetProtection selectLockedCells="1" selectUnlockedCells="1"/>
  <mergeCells count="1">
    <mergeCell ref="A1:G1"/>
  </mergeCells>
  <phoneticPr fontId="33" type="noConversion"/>
  <pageMargins left="0" right="0" top="1" bottom="1" header="0.51180555555555551" footer="0.51180555555555551"/>
  <pageSetup paperSize="9" scale="94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rgb="FF3366FF"/>
  </sheetPr>
  <dimension ref="A1:AO32"/>
  <sheetViews>
    <sheetView zoomScale="130" zoomScaleNormal="130" workbookViewId="0">
      <selection activeCell="U21" sqref="U21"/>
    </sheetView>
  </sheetViews>
  <sheetFormatPr baseColWidth="10" defaultColWidth="9.1640625" defaultRowHeight="16" x14ac:dyDescent="0.2"/>
  <cols>
    <col min="1" max="1" width="2.1640625" style="14" customWidth="1"/>
    <col min="2" max="2" width="25" style="14" customWidth="1"/>
    <col min="3" max="3" width="10.1640625" style="36" customWidth="1"/>
    <col min="4" max="6" width="3.5" style="36" customWidth="1"/>
    <col min="7" max="17" width="3.5" style="16" customWidth="1"/>
    <col min="18" max="19" width="3.5" style="14" customWidth="1"/>
    <col min="20" max="20" width="3.5" style="37" customWidth="1"/>
    <col min="21" max="41" width="3.5" style="14" customWidth="1"/>
    <col min="42" max="16384" width="9.1640625" style="14"/>
  </cols>
  <sheetData>
    <row r="1" spans="1:41" ht="21.75" customHeight="1" x14ac:dyDescent="0.2">
      <c r="C1" s="17" t="s">
        <v>62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N1" s="37"/>
    </row>
    <row r="2" spans="1:41" s="19" customFormat="1" ht="68.25" customHeight="1" x14ac:dyDescent="0.15">
      <c r="B2" s="20"/>
      <c r="C2" s="50" t="s">
        <v>63</v>
      </c>
      <c r="D2" s="178">
        <v>43379</v>
      </c>
      <c r="E2" s="178">
        <v>43377</v>
      </c>
      <c r="F2" s="178">
        <v>43370</v>
      </c>
      <c r="G2" s="178">
        <v>43363</v>
      </c>
      <c r="H2" s="178">
        <v>43356</v>
      </c>
      <c r="I2" s="178">
        <v>43352</v>
      </c>
      <c r="J2" s="178">
        <v>43351</v>
      </c>
      <c r="K2" s="178">
        <v>43349</v>
      </c>
      <c r="L2" s="178">
        <v>43342</v>
      </c>
      <c r="M2" s="178">
        <v>43335</v>
      </c>
      <c r="N2" s="178">
        <v>43328</v>
      </c>
      <c r="O2" s="178">
        <v>43321</v>
      </c>
      <c r="P2" s="178">
        <v>43314</v>
      </c>
      <c r="Q2" s="178">
        <v>43307</v>
      </c>
      <c r="R2" s="178">
        <v>43300</v>
      </c>
      <c r="S2" s="178">
        <v>43293</v>
      </c>
      <c r="T2" s="178">
        <v>43286</v>
      </c>
      <c r="U2" s="178">
        <v>43279</v>
      </c>
      <c r="V2" s="178">
        <v>43272</v>
      </c>
      <c r="W2" s="178">
        <v>43265</v>
      </c>
      <c r="X2" s="178">
        <v>43258</v>
      </c>
      <c r="Y2" s="333">
        <v>43253</v>
      </c>
      <c r="Z2" s="178">
        <v>43251</v>
      </c>
      <c r="AA2" s="178">
        <v>43244</v>
      </c>
      <c r="AB2" s="178">
        <v>43237</v>
      </c>
      <c r="AC2" s="178">
        <v>43230</v>
      </c>
      <c r="AD2" s="178">
        <v>43223</v>
      </c>
      <c r="AE2" s="178">
        <v>43216</v>
      </c>
      <c r="AF2" s="178">
        <v>43209</v>
      </c>
      <c r="AG2" s="178">
        <v>43202</v>
      </c>
      <c r="AH2" s="178">
        <v>43195</v>
      </c>
      <c r="AI2" s="180" t="s">
        <v>64</v>
      </c>
      <c r="AJ2" s="180" t="s">
        <v>65</v>
      </c>
      <c r="AK2" s="180" t="s">
        <v>66</v>
      </c>
      <c r="AL2" s="180" t="s">
        <v>135</v>
      </c>
      <c r="AN2" s="40"/>
    </row>
    <row r="3" spans="1:41" x14ac:dyDescent="0.2">
      <c r="A3" s="24"/>
      <c r="B3" s="149" t="s">
        <v>31</v>
      </c>
      <c r="C3" s="150">
        <f>(SUM(D3:AH3)+AJ3*37)/AK3</f>
        <v>30</v>
      </c>
      <c r="D3" s="414" t="s">
        <v>262</v>
      </c>
      <c r="E3" s="399">
        <v>28</v>
      </c>
      <c r="F3" s="414" t="s">
        <v>263</v>
      </c>
      <c r="G3" s="399">
        <v>26</v>
      </c>
      <c r="H3" s="399"/>
      <c r="I3" s="399">
        <v>32</v>
      </c>
      <c r="J3" s="399">
        <v>31</v>
      </c>
      <c r="K3" s="414" t="s">
        <v>260</v>
      </c>
      <c r="L3" s="414" t="s">
        <v>267</v>
      </c>
      <c r="M3" s="415"/>
      <c r="N3" s="414" t="s">
        <v>266</v>
      </c>
      <c r="O3" s="399">
        <v>30</v>
      </c>
      <c r="P3" s="399">
        <v>27</v>
      </c>
      <c r="Q3" s="399">
        <v>33</v>
      </c>
      <c r="R3" s="399">
        <v>30</v>
      </c>
      <c r="S3" s="399">
        <v>29</v>
      </c>
      <c r="T3" s="414" t="s">
        <v>262</v>
      </c>
      <c r="U3" s="398">
        <v>32</v>
      </c>
      <c r="V3" s="414" t="s">
        <v>298</v>
      </c>
      <c r="W3" s="398">
        <v>32</v>
      </c>
      <c r="X3" s="398">
        <v>32</v>
      </c>
      <c r="Y3" s="398">
        <v>32</v>
      </c>
      <c r="Z3" s="399">
        <v>27</v>
      </c>
      <c r="AA3" s="398">
        <v>30</v>
      </c>
      <c r="AB3" s="399">
        <v>29</v>
      </c>
      <c r="AC3" s="399">
        <v>28</v>
      </c>
      <c r="AD3" s="414" t="s">
        <v>262</v>
      </c>
      <c r="AE3" s="414" t="s">
        <v>298</v>
      </c>
      <c r="AF3" s="387">
        <v>32</v>
      </c>
      <c r="AG3" s="414" t="s">
        <v>260</v>
      </c>
      <c r="AH3" s="414" t="s">
        <v>298</v>
      </c>
      <c r="AI3" s="41">
        <f>COUNTIF(D3:AH3,"&gt;0")</f>
        <v>18</v>
      </c>
      <c r="AJ3" s="42">
        <f>IF(AI3&lt;19,18-AI3,0)</f>
        <v>0</v>
      </c>
      <c r="AK3" s="42">
        <f>SUM(AI3:AJ3)</f>
        <v>18</v>
      </c>
      <c r="AL3" s="42">
        <f>LARGE(D3:AH3,1)</f>
        <v>33</v>
      </c>
      <c r="AN3" s="37" t="str">
        <f>IF(AI3&gt;18,"OBS"," ")</f>
        <v xml:space="preserve"> </v>
      </c>
    </row>
    <row r="4" spans="1:41" s="23" customFormat="1" x14ac:dyDescent="0.2">
      <c r="A4" s="24"/>
      <c r="B4" s="149" t="s">
        <v>19</v>
      </c>
      <c r="C4" s="150">
        <f>(SUM(D4:AH4)+AJ4*37)/AK4</f>
        <v>30.444444444444443</v>
      </c>
      <c r="D4" s="399">
        <v>33</v>
      </c>
      <c r="E4" s="398">
        <v>28</v>
      </c>
      <c r="F4" s="398">
        <v>32</v>
      </c>
      <c r="G4" s="414" t="s">
        <v>297</v>
      </c>
      <c r="H4" s="399">
        <v>30</v>
      </c>
      <c r="I4" s="399">
        <v>33</v>
      </c>
      <c r="J4" s="399">
        <v>29</v>
      </c>
      <c r="K4" s="398">
        <v>30</v>
      </c>
      <c r="L4" s="399">
        <v>30</v>
      </c>
      <c r="M4" s="416"/>
      <c r="N4" s="414" t="s">
        <v>267</v>
      </c>
      <c r="O4" s="398">
        <v>28</v>
      </c>
      <c r="P4" s="398">
        <v>29</v>
      </c>
      <c r="Q4" s="398"/>
      <c r="R4" s="414" t="s">
        <v>260</v>
      </c>
      <c r="S4" s="399">
        <v>30</v>
      </c>
      <c r="T4" s="398">
        <v>33</v>
      </c>
      <c r="U4" s="414" t="s">
        <v>298</v>
      </c>
      <c r="V4" s="399">
        <v>28</v>
      </c>
      <c r="W4" s="398"/>
      <c r="X4" s="398">
        <v>30</v>
      </c>
      <c r="Y4" s="414" t="s">
        <v>263</v>
      </c>
      <c r="Z4" s="399">
        <v>30</v>
      </c>
      <c r="AA4" s="399">
        <v>31</v>
      </c>
      <c r="AB4" s="414" t="s">
        <v>297</v>
      </c>
      <c r="AC4" s="399"/>
      <c r="AD4" s="387">
        <v>32</v>
      </c>
      <c r="AE4" s="414" t="s">
        <v>274</v>
      </c>
      <c r="AF4" s="387">
        <v>32</v>
      </c>
      <c r="AG4" s="414" t="s">
        <v>262</v>
      </c>
      <c r="AH4" s="414" t="s">
        <v>263</v>
      </c>
      <c r="AI4" s="41">
        <f>COUNTIF(D4:AH4,"&gt;0")</f>
        <v>18</v>
      </c>
      <c r="AJ4" s="42">
        <f>IF(AI4&lt;19,18-AI4,0)</f>
        <v>0</v>
      </c>
      <c r="AK4" s="42">
        <f>SUM(AI4:AJ4)</f>
        <v>18</v>
      </c>
      <c r="AL4" s="42">
        <f>LARGE(D4:AH4,1)</f>
        <v>33</v>
      </c>
      <c r="AM4" s="14"/>
      <c r="AN4" s="37" t="str">
        <f>IF(AI4&gt;18,"OBS"," ")</f>
        <v xml:space="preserve"> </v>
      </c>
      <c r="AO4" s="14"/>
    </row>
    <row r="5" spans="1:41" x14ac:dyDescent="0.2">
      <c r="B5" s="149" t="s">
        <v>29</v>
      </c>
      <c r="C5" s="150">
        <f>(SUM(D5:AH5)+AJ5*37)/AK5</f>
        <v>30.777777777777779</v>
      </c>
      <c r="D5" s="399">
        <v>32</v>
      </c>
      <c r="E5" s="399">
        <v>29</v>
      </c>
      <c r="F5" s="399"/>
      <c r="G5" s="399">
        <v>27</v>
      </c>
      <c r="H5" s="414" t="s">
        <v>266</v>
      </c>
      <c r="I5" s="414" t="s">
        <v>297</v>
      </c>
      <c r="J5" s="414" t="s">
        <v>267</v>
      </c>
      <c r="K5" s="414" t="s">
        <v>260</v>
      </c>
      <c r="L5" s="399">
        <v>34</v>
      </c>
      <c r="M5" s="415"/>
      <c r="N5" s="414" t="s">
        <v>297</v>
      </c>
      <c r="O5" s="399">
        <v>26</v>
      </c>
      <c r="P5" s="399">
        <v>33</v>
      </c>
      <c r="Q5" s="398">
        <v>27</v>
      </c>
      <c r="R5" s="399">
        <v>29</v>
      </c>
      <c r="S5" s="414" t="s">
        <v>267</v>
      </c>
      <c r="T5" s="398">
        <v>32</v>
      </c>
      <c r="U5" s="398">
        <v>32</v>
      </c>
      <c r="V5" s="399">
        <v>33</v>
      </c>
      <c r="W5" s="399"/>
      <c r="X5" s="398">
        <v>31</v>
      </c>
      <c r="Y5" s="414" t="s">
        <v>297</v>
      </c>
      <c r="Z5" s="398">
        <v>34</v>
      </c>
      <c r="AA5" s="414" t="s">
        <v>297</v>
      </c>
      <c r="AB5" s="398">
        <v>34</v>
      </c>
      <c r="AC5" s="399">
        <v>29</v>
      </c>
      <c r="AD5" s="414" t="s">
        <v>267</v>
      </c>
      <c r="AE5" s="387">
        <v>30</v>
      </c>
      <c r="AF5" s="387">
        <v>31</v>
      </c>
      <c r="AG5" s="414" t="s">
        <v>263</v>
      </c>
      <c r="AH5" s="387">
        <v>31</v>
      </c>
      <c r="AI5" s="41">
        <f>COUNTIF(D5:AH5,"&gt;0")</f>
        <v>18</v>
      </c>
      <c r="AJ5" s="42">
        <f>IF(AI5&lt;19,18-AI5,0)</f>
        <v>0</v>
      </c>
      <c r="AK5" s="42">
        <f>SUM(AI5:AJ5)</f>
        <v>18</v>
      </c>
      <c r="AL5" s="42">
        <f>LARGE(D5:AH5,1)</f>
        <v>34</v>
      </c>
      <c r="AN5" s="37" t="str">
        <f>IF(AI5&gt;18,"OBS"," ")</f>
        <v xml:space="preserve"> </v>
      </c>
    </row>
    <row r="6" spans="1:41" s="24" customFormat="1" x14ac:dyDescent="0.2">
      <c r="A6" s="14"/>
      <c r="B6" s="149" t="s">
        <v>49</v>
      </c>
      <c r="C6" s="150">
        <f>(SUM(D6:AH6)+AJ6*37)/AK6</f>
        <v>32.055555555555557</v>
      </c>
      <c r="D6" s="398"/>
      <c r="E6" s="398"/>
      <c r="F6" s="399">
        <v>40</v>
      </c>
      <c r="G6" s="399">
        <v>29</v>
      </c>
      <c r="H6" s="399">
        <v>34</v>
      </c>
      <c r="I6" s="399">
        <v>35</v>
      </c>
      <c r="J6" s="399">
        <v>29</v>
      </c>
      <c r="K6" s="399"/>
      <c r="L6" s="398">
        <v>29</v>
      </c>
      <c r="M6" s="415"/>
      <c r="N6" s="398">
        <v>35</v>
      </c>
      <c r="O6" s="398">
        <v>29</v>
      </c>
      <c r="P6" s="399"/>
      <c r="Q6" s="398"/>
      <c r="R6" s="398">
        <v>25</v>
      </c>
      <c r="S6" s="399">
        <v>31</v>
      </c>
      <c r="T6" s="398"/>
      <c r="U6" s="399">
        <v>39</v>
      </c>
      <c r="V6" s="398"/>
      <c r="W6" s="398">
        <v>31</v>
      </c>
      <c r="X6" s="399"/>
      <c r="Y6" s="399">
        <v>30</v>
      </c>
      <c r="Z6" s="399">
        <v>33</v>
      </c>
      <c r="AA6" s="399"/>
      <c r="AB6" s="399"/>
      <c r="AC6" s="398"/>
      <c r="AD6" s="388">
        <v>33</v>
      </c>
      <c r="AE6" s="387">
        <v>25</v>
      </c>
      <c r="AF6" s="387">
        <v>34</v>
      </c>
      <c r="AG6" s="387">
        <v>36</v>
      </c>
      <c r="AH6" s="387"/>
      <c r="AI6" s="41">
        <f>COUNTIF(D6:AH6,"&gt;0")</f>
        <v>18</v>
      </c>
      <c r="AJ6" s="42">
        <f>IF(AI6&lt;19,18-AI6,0)</f>
        <v>0</v>
      </c>
      <c r="AK6" s="42">
        <f>SUM(AI6:AJ6)</f>
        <v>18</v>
      </c>
      <c r="AL6" s="42">
        <f>LARGE(D6:AH6,1)</f>
        <v>40</v>
      </c>
      <c r="AM6" s="14"/>
      <c r="AN6" s="37" t="str">
        <f>IF(AI6&gt;18,"OBS"," ")</f>
        <v xml:space="preserve"> </v>
      </c>
      <c r="AO6" s="14"/>
    </row>
    <row r="7" spans="1:41" s="24" customFormat="1" x14ac:dyDescent="0.2">
      <c r="A7" s="14"/>
      <c r="B7" s="149" t="s">
        <v>15</v>
      </c>
      <c r="C7" s="150">
        <f>(SUM(D7:AH7)+AJ7*37)/AK7</f>
        <v>32.111111111111114</v>
      </c>
      <c r="D7" s="399"/>
      <c r="E7" s="414" t="s">
        <v>266</v>
      </c>
      <c r="F7" s="399"/>
      <c r="G7" s="399"/>
      <c r="H7" s="399">
        <v>36</v>
      </c>
      <c r="I7" s="399">
        <v>27</v>
      </c>
      <c r="J7" s="399">
        <v>32</v>
      </c>
      <c r="K7" s="399"/>
      <c r="L7" s="399">
        <v>35</v>
      </c>
      <c r="M7" s="416"/>
      <c r="N7" s="398">
        <v>32</v>
      </c>
      <c r="O7" s="399">
        <v>29</v>
      </c>
      <c r="P7" s="398">
        <v>31</v>
      </c>
      <c r="Q7" s="398">
        <v>32</v>
      </c>
      <c r="R7" s="398">
        <v>32</v>
      </c>
      <c r="S7" s="398"/>
      <c r="T7" s="398">
        <v>37</v>
      </c>
      <c r="U7" s="398">
        <v>35</v>
      </c>
      <c r="V7" s="399">
        <v>29</v>
      </c>
      <c r="W7" s="398"/>
      <c r="X7" s="399">
        <v>30</v>
      </c>
      <c r="Y7" s="414" t="s">
        <v>296</v>
      </c>
      <c r="Z7" s="398">
        <v>32</v>
      </c>
      <c r="AA7" s="398">
        <v>34</v>
      </c>
      <c r="AB7" s="398">
        <v>37</v>
      </c>
      <c r="AC7" s="398">
        <v>29</v>
      </c>
      <c r="AD7" s="388"/>
      <c r="AE7" s="414" t="s">
        <v>267</v>
      </c>
      <c r="AF7" s="387">
        <v>29</v>
      </c>
      <c r="AG7" s="387"/>
      <c r="AH7" s="388"/>
      <c r="AI7" s="41">
        <f>COUNTIF(D7:AH7,"&gt;0")</f>
        <v>18</v>
      </c>
      <c r="AJ7" s="42">
        <f>IF(AI7&lt;19,18-AI7,0)</f>
        <v>0</v>
      </c>
      <c r="AK7" s="42">
        <f>SUM(AI7:AJ7)</f>
        <v>18</v>
      </c>
      <c r="AL7" s="42">
        <f>LARGE(D7:AH7,1)</f>
        <v>37</v>
      </c>
      <c r="AM7" s="14"/>
      <c r="AN7" s="37" t="str">
        <f>IF(AI7&gt;18,"OBS"," ")</f>
        <v xml:space="preserve"> </v>
      </c>
      <c r="AO7" s="14"/>
    </row>
    <row r="8" spans="1:41" s="24" customFormat="1" x14ac:dyDescent="0.2">
      <c r="A8" s="14"/>
      <c r="B8" s="149" t="s">
        <v>35</v>
      </c>
      <c r="C8" s="150">
        <f>(SUM(D8:AH8)+AJ8*37)/AK8</f>
        <v>32.555555555555557</v>
      </c>
      <c r="D8" s="398">
        <v>35</v>
      </c>
      <c r="E8" s="414" t="s">
        <v>267</v>
      </c>
      <c r="F8" s="414" t="s">
        <v>268</v>
      </c>
      <c r="G8" s="398">
        <v>36</v>
      </c>
      <c r="H8" s="398"/>
      <c r="I8" s="399">
        <v>29</v>
      </c>
      <c r="J8" s="398">
        <v>32</v>
      </c>
      <c r="K8" s="398">
        <v>31</v>
      </c>
      <c r="L8" s="398">
        <v>33</v>
      </c>
      <c r="M8" s="415"/>
      <c r="N8" s="398">
        <v>35</v>
      </c>
      <c r="O8" s="398">
        <v>32</v>
      </c>
      <c r="P8" s="399">
        <v>34</v>
      </c>
      <c r="Q8" s="414" t="s">
        <v>267</v>
      </c>
      <c r="R8" s="399">
        <v>29</v>
      </c>
      <c r="S8" s="399">
        <v>36</v>
      </c>
      <c r="T8" s="414" t="s">
        <v>263</v>
      </c>
      <c r="U8" s="398">
        <v>34</v>
      </c>
      <c r="V8" s="399">
        <v>35</v>
      </c>
      <c r="W8" s="398">
        <v>31</v>
      </c>
      <c r="X8" s="414" t="s">
        <v>260</v>
      </c>
      <c r="Y8" s="414" t="s">
        <v>264</v>
      </c>
      <c r="Z8" s="399">
        <v>28</v>
      </c>
      <c r="AA8" s="399">
        <v>32</v>
      </c>
      <c r="AB8" s="414" t="s">
        <v>260</v>
      </c>
      <c r="AC8" s="414" t="s">
        <v>266</v>
      </c>
      <c r="AD8" s="387">
        <v>32</v>
      </c>
      <c r="AE8" s="414" t="s">
        <v>266</v>
      </c>
      <c r="AF8" s="387">
        <v>32</v>
      </c>
      <c r="AG8" s="414" t="s">
        <v>268</v>
      </c>
      <c r="AH8" s="387"/>
      <c r="AI8" s="41">
        <f>COUNTIF(D8:AH8,"&gt;0")</f>
        <v>18</v>
      </c>
      <c r="AJ8" s="42">
        <f>IF(AI8&lt;19,18-AI8,0)</f>
        <v>0</v>
      </c>
      <c r="AK8" s="42">
        <f>SUM(AI8:AJ8)</f>
        <v>18</v>
      </c>
      <c r="AL8" s="42">
        <f>LARGE(D8:AH8,1)</f>
        <v>36</v>
      </c>
      <c r="AM8" s="14"/>
      <c r="AN8" s="37" t="str">
        <f>IF(AI8&gt;18,"OBS"," ")</f>
        <v xml:space="preserve"> </v>
      </c>
      <c r="AO8" s="14"/>
    </row>
    <row r="9" spans="1:41" x14ac:dyDescent="0.2">
      <c r="B9" s="149" t="s">
        <v>39</v>
      </c>
      <c r="C9" s="150">
        <f>(SUM(D9:AH9)+AJ9*37)/AK9</f>
        <v>32.555555555555557</v>
      </c>
      <c r="D9" s="399">
        <v>31</v>
      </c>
      <c r="E9" s="399">
        <v>35</v>
      </c>
      <c r="F9" s="399"/>
      <c r="G9" s="398">
        <v>32</v>
      </c>
      <c r="H9" s="414" t="s">
        <v>267</v>
      </c>
      <c r="I9" s="399">
        <v>28</v>
      </c>
      <c r="J9" s="399">
        <v>29</v>
      </c>
      <c r="K9" s="398">
        <v>31</v>
      </c>
      <c r="L9" s="399">
        <v>35</v>
      </c>
      <c r="M9" s="415"/>
      <c r="N9" s="414" t="s">
        <v>266</v>
      </c>
      <c r="O9" s="399">
        <v>31</v>
      </c>
      <c r="P9" s="398"/>
      <c r="Q9" s="398"/>
      <c r="R9" s="398">
        <v>32</v>
      </c>
      <c r="S9" s="398">
        <v>33</v>
      </c>
      <c r="T9" s="398">
        <v>35</v>
      </c>
      <c r="U9" s="414" t="s">
        <v>263</v>
      </c>
      <c r="V9" s="398">
        <v>34</v>
      </c>
      <c r="W9" s="398">
        <v>36</v>
      </c>
      <c r="X9" s="399">
        <v>36</v>
      </c>
      <c r="Y9" s="414" t="s">
        <v>288</v>
      </c>
      <c r="Z9" s="414" t="s">
        <v>267</v>
      </c>
      <c r="AA9" s="398">
        <v>34</v>
      </c>
      <c r="AB9" s="414" t="s">
        <v>263</v>
      </c>
      <c r="AC9" s="399">
        <v>29</v>
      </c>
      <c r="AD9" s="387"/>
      <c r="AE9" s="387">
        <v>35</v>
      </c>
      <c r="AF9" s="414" t="s">
        <v>260</v>
      </c>
      <c r="AG9" s="387">
        <v>30</v>
      </c>
      <c r="AH9" s="388"/>
      <c r="AI9" s="41">
        <f>COUNTIF(D9:AH9,"&gt;0")</f>
        <v>18</v>
      </c>
      <c r="AJ9" s="42">
        <f>IF(AI9&lt;19,18-AI9,0)</f>
        <v>0</v>
      </c>
      <c r="AK9" s="42">
        <f>SUM(AI9:AJ9)</f>
        <v>18</v>
      </c>
      <c r="AL9" s="42">
        <f>LARGE(D9:AH9,1)</f>
        <v>36</v>
      </c>
      <c r="AN9" s="37" t="str">
        <f>IF(AI9&gt;18,"OBS"," ")</f>
        <v xml:space="preserve"> </v>
      </c>
    </row>
    <row r="10" spans="1:41" x14ac:dyDescent="0.2">
      <c r="B10" s="149" t="s">
        <v>11</v>
      </c>
      <c r="C10" s="150">
        <f>(SUM(D10:AH10)+AJ10*37)/AK10</f>
        <v>33.277777777777779</v>
      </c>
      <c r="D10" s="414" t="s">
        <v>263</v>
      </c>
      <c r="E10" s="399"/>
      <c r="F10" s="414" t="s">
        <v>266</v>
      </c>
      <c r="G10" s="414" t="s">
        <v>267</v>
      </c>
      <c r="H10" s="414" t="s">
        <v>288</v>
      </c>
      <c r="I10" s="399">
        <v>30</v>
      </c>
      <c r="J10" s="399">
        <v>35</v>
      </c>
      <c r="K10" s="399"/>
      <c r="L10" s="399">
        <v>36</v>
      </c>
      <c r="M10" s="416"/>
      <c r="N10" s="414" t="s">
        <v>263</v>
      </c>
      <c r="O10" s="398">
        <v>32</v>
      </c>
      <c r="P10" s="399"/>
      <c r="Q10" s="399">
        <v>31</v>
      </c>
      <c r="R10" s="398"/>
      <c r="S10" s="398"/>
      <c r="T10" s="398">
        <v>32</v>
      </c>
      <c r="U10" s="399">
        <v>30</v>
      </c>
      <c r="V10" s="399">
        <v>35</v>
      </c>
      <c r="W10" s="399">
        <v>35</v>
      </c>
      <c r="X10" s="399">
        <v>28</v>
      </c>
      <c r="Y10" s="399">
        <v>33</v>
      </c>
      <c r="Z10" s="398"/>
      <c r="AA10" s="399">
        <v>34</v>
      </c>
      <c r="AB10" s="398">
        <v>35</v>
      </c>
      <c r="AC10" s="399">
        <v>33</v>
      </c>
      <c r="AD10" s="388">
        <v>36</v>
      </c>
      <c r="AE10" s="387">
        <v>33</v>
      </c>
      <c r="AF10" s="387">
        <v>36</v>
      </c>
      <c r="AG10" s="414" t="s">
        <v>288</v>
      </c>
      <c r="AH10" s="387">
        <v>35</v>
      </c>
      <c r="AI10" s="41">
        <f>COUNTIF(D10:AH10,"&gt;0")</f>
        <v>18</v>
      </c>
      <c r="AJ10" s="42">
        <f>IF(AI10&lt;19,18-AI10,0)</f>
        <v>0</v>
      </c>
      <c r="AK10" s="42">
        <f>SUM(AI10:AJ10)</f>
        <v>18</v>
      </c>
      <c r="AL10" s="42">
        <f>LARGE(D10:AH10,1)</f>
        <v>36</v>
      </c>
      <c r="AN10" s="37" t="str">
        <f>IF(AI10&gt;18,"OBS"," ")</f>
        <v xml:space="preserve"> </v>
      </c>
    </row>
    <row r="11" spans="1:41" x14ac:dyDescent="0.2">
      <c r="B11" s="149" t="s">
        <v>43</v>
      </c>
      <c r="C11" s="150">
        <f>(SUM(D11:AH11)+AJ11*37)/AK11</f>
        <v>34.388888888888886</v>
      </c>
      <c r="D11" s="399"/>
      <c r="E11" s="414" t="s">
        <v>263</v>
      </c>
      <c r="F11" s="398">
        <v>32</v>
      </c>
      <c r="G11" s="398">
        <v>27</v>
      </c>
      <c r="H11" s="414" t="s">
        <v>296</v>
      </c>
      <c r="I11" s="399">
        <v>37</v>
      </c>
      <c r="J11" s="398">
        <v>36</v>
      </c>
      <c r="K11" s="398">
        <v>38</v>
      </c>
      <c r="L11" s="414" t="s">
        <v>266</v>
      </c>
      <c r="M11" s="415"/>
      <c r="N11" s="398">
        <v>33</v>
      </c>
      <c r="O11" s="399">
        <v>31</v>
      </c>
      <c r="P11" s="398">
        <v>32</v>
      </c>
      <c r="Q11" s="399"/>
      <c r="R11" s="399">
        <v>37</v>
      </c>
      <c r="S11" s="399">
        <v>33</v>
      </c>
      <c r="T11" s="398">
        <v>34</v>
      </c>
      <c r="U11" s="399">
        <v>30</v>
      </c>
      <c r="V11" s="414" t="s">
        <v>274</v>
      </c>
      <c r="W11" s="399"/>
      <c r="X11" s="399"/>
      <c r="Y11" s="414" t="s">
        <v>275</v>
      </c>
      <c r="Z11" s="414" t="s">
        <v>274</v>
      </c>
      <c r="AA11" s="399">
        <v>38</v>
      </c>
      <c r="AB11" s="414" t="s">
        <v>263</v>
      </c>
      <c r="AC11" s="399">
        <v>35</v>
      </c>
      <c r="AD11" s="414">
        <v>38</v>
      </c>
      <c r="AE11" s="387">
        <v>37</v>
      </c>
      <c r="AF11" s="387">
        <v>37</v>
      </c>
      <c r="AG11" s="387">
        <v>34</v>
      </c>
      <c r="AH11" s="414" t="s">
        <v>266</v>
      </c>
      <c r="AI11" s="41">
        <f>COUNTIF(D11:AH11,"&gt;0")</f>
        <v>18</v>
      </c>
      <c r="AJ11" s="42">
        <f>IF(AI11&lt;19,18-AI11,0)</f>
        <v>0</v>
      </c>
      <c r="AK11" s="42">
        <f>SUM(AI11:AJ11)</f>
        <v>18</v>
      </c>
      <c r="AL11" s="42">
        <f>LARGE(D11:AH11,1)</f>
        <v>38</v>
      </c>
      <c r="AN11" s="37" t="str">
        <f>IF(AI11&gt;18,"OBS"," ")</f>
        <v xml:space="preserve"> </v>
      </c>
    </row>
    <row r="12" spans="1:41" x14ac:dyDescent="0.2">
      <c r="B12" s="149" t="s">
        <v>148</v>
      </c>
      <c r="C12" s="150">
        <f>(SUM(D12:AH12)+AJ12*37)/AK12</f>
        <v>34.555555555555557</v>
      </c>
      <c r="D12" s="398"/>
      <c r="E12" s="398"/>
      <c r="F12" s="398">
        <v>37</v>
      </c>
      <c r="G12" s="398">
        <v>29</v>
      </c>
      <c r="H12" s="398"/>
      <c r="I12" s="398"/>
      <c r="J12" s="398"/>
      <c r="K12" s="398"/>
      <c r="L12" s="398">
        <v>32</v>
      </c>
      <c r="M12" s="415"/>
      <c r="N12" s="398"/>
      <c r="O12" s="398"/>
      <c r="P12" s="398">
        <v>37</v>
      </c>
      <c r="Q12" s="398">
        <v>32</v>
      </c>
      <c r="R12" s="398"/>
      <c r="S12" s="398"/>
      <c r="T12" s="398"/>
      <c r="U12" s="398"/>
      <c r="V12" s="398"/>
      <c r="W12" s="398"/>
      <c r="X12" s="398">
        <v>29</v>
      </c>
      <c r="Y12" s="398"/>
      <c r="Z12" s="398">
        <v>32</v>
      </c>
      <c r="AA12" s="398"/>
      <c r="AB12" s="398"/>
      <c r="AC12" s="398">
        <v>29</v>
      </c>
      <c r="AD12" s="388">
        <v>32</v>
      </c>
      <c r="AE12" s="387">
        <v>36</v>
      </c>
      <c r="AF12" s="387"/>
      <c r="AG12" s="387"/>
      <c r="AH12" s="388">
        <v>38</v>
      </c>
      <c r="AI12" s="41">
        <f>COUNTIF(D12:AH12,"&gt;0")</f>
        <v>11</v>
      </c>
      <c r="AJ12" s="42">
        <f>IF(AI12&lt;19,18-AI12,0)</f>
        <v>7</v>
      </c>
      <c r="AK12" s="42">
        <f>SUM(AI12:AJ12)</f>
        <v>18</v>
      </c>
      <c r="AL12" s="42">
        <f>LARGE(D12:AH12,1)</f>
        <v>38</v>
      </c>
      <c r="AN12" s="37" t="str">
        <f>IF(AI12&gt;18,"OBS"," ")</f>
        <v xml:space="preserve"> </v>
      </c>
    </row>
    <row r="13" spans="1:41" x14ac:dyDescent="0.2">
      <c r="B13" s="149" t="s">
        <v>23</v>
      </c>
      <c r="C13" s="150">
        <f>(SUM(D13:AH13)+AJ13*37)/AK13</f>
        <v>34.611111111111114</v>
      </c>
      <c r="D13" s="398">
        <v>39</v>
      </c>
      <c r="E13" s="398">
        <v>32</v>
      </c>
      <c r="F13" s="398">
        <v>37</v>
      </c>
      <c r="G13" s="398"/>
      <c r="H13" s="398"/>
      <c r="I13" s="398">
        <v>36</v>
      </c>
      <c r="J13" s="398">
        <v>34</v>
      </c>
      <c r="K13" s="398">
        <v>36</v>
      </c>
      <c r="L13" s="398">
        <v>37</v>
      </c>
      <c r="M13" s="415"/>
      <c r="N13" s="398">
        <v>38</v>
      </c>
      <c r="O13" s="398">
        <v>32</v>
      </c>
      <c r="P13" s="398"/>
      <c r="Q13" s="398"/>
      <c r="R13" s="398"/>
      <c r="S13" s="398">
        <v>27</v>
      </c>
      <c r="T13" s="398">
        <v>39</v>
      </c>
      <c r="U13" s="398"/>
      <c r="V13" s="398"/>
      <c r="W13" s="398"/>
      <c r="X13" s="398">
        <v>32</v>
      </c>
      <c r="Y13" s="398"/>
      <c r="Z13" s="398"/>
      <c r="AA13" s="398">
        <v>35</v>
      </c>
      <c r="AB13" s="399">
        <v>32</v>
      </c>
      <c r="AC13" s="398"/>
      <c r="AD13" s="388"/>
      <c r="AE13" s="387"/>
      <c r="AF13" s="387">
        <v>33</v>
      </c>
      <c r="AG13" s="387">
        <v>31</v>
      </c>
      <c r="AH13" s="388">
        <v>36</v>
      </c>
      <c r="AI13" s="41">
        <f>COUNTIF(D13:AH13,"&gt;0")</f>
        <v>17</v>
      </c>
      <c r="AJ13" s="42">
        <f>IF(AI13&lt;19,18-AI13,0)</f>
        <v>1</v>
      </c>
      <c r="AK13" s="42">
        <f>SUM(AI13:AJ13)</f>
        <v>18</v>
      </c>
      <c r="AL13" s="42">
        <f>LARGE(D13:AH13,1)</f>
        <v>39</v>
      </c>
      <c r="AM13" s="23"/>
      <c r="AN13" s="37" t="str">
        <f>IF(AI13&gt;18,"OBS"," ")</f>
        <v xml:space="preserve"> </v>
      </c>
    </row>
    <row r="14" spans="1:41" x14ac:dyDescent="0.2">
      <c r="A14" s="23"/>
      <c r="B14" s="149" t="s">
        <v>13</v>
      </c>
      <c r="C14" s="150">
        <f>(SUM(D14:AH14)+AJ14*37)/AK14</f>
        <v>35.055555555555557</v>
      </c>
      <c r="D14" s="399"/>
      <c r="E14" s="398"/>
      <c r="F14" s="398"/>
      <c r="G14" s="398"/>
      <c r="H14" s="398">
        <v>38</v>
      </c>
      <c r="I14" s="399"/>
      <c r="J14" s="399"/>
      <c r="K14" s="399">
        <v>34</v>
      </c>
      <c r="L14" s="399">
        <v>35</v>
      </c>
      <c r="M14" s="415"/>
      <c r="N14" s="398"/>
      <c r="O14" s="399">
        <v>29</v>
      </c>
      <c r="P14" s="399">
        <v>34</v>
      </c>
      <c r="Q14" s="399"/>
      <c r="R14" s="398"/>
      <c r="S14" s="399"/>
      <c r="T14" s="398">
        <v>30</v>
      </c>
      <c r="U14" s="398"/>
      <c r="V14" s="399"/>
      <c r="W14" s="398"/>
      <c r="X14" s="399">
        <v>32</v>
      </c>
      <c r="Y14" s="398"/>
      <c r="Z14" s="398"/>
      <c r="AA14" s="398">
        <v>35</v>
      </c>
      <c r="AB14" s="398"/>
      <c r="AC14" s="398"/>
      <c r="AD14" s="388">
        <v>34</v>
      </c>
      <c r="AE14" s="387">
        <v>35</v>
      </c>
      <c r="AF14" s="387">
        <v>36</v>
      </c>
      <c r="AG14" s="387"/>
      <c r="AH14" s="387"/>
      <c r="AI14" s="41">
        <f>COUNTIF(D14:AH14,"&gt;0")</f>
        <v>11</v>
      </c>
      <c r="AJ14" s="42">
        <f>IF(AI14&lt;19,18-AI14,0)</f>
        <v>7</v>
      </c>
      <c r="AK14" s="42">
        <f>SUM(AI14:AJ14)</f>
        <v>18</v>
      </c>
      <c r="AL14" s="42">
        <f>LARGE(D14:AH14,1)</f>
        <v>38</v>
      </c>
      <c r="AN14" s="37" t="str">
        <f>IF(AI14&gt;18,"OBS"," ")</f>
        <v xml:space="preserve"> </v>
      </c>
    </row>
    <row r="15" spans="1:41" s="24" customFormat="1" x14ac:dyDescent="0.2">
      <c r="B15" s="149" t="s">
        <v>45</v>
      </c>
      <c r="C15" s="150">
        <f>(SUM(D15:AH15)+AJ15*37)/AK15</f>
        <v>35.055555555555557</v>
      </c>
      <c r="D15" s="398"/>
      <c r="E15" s="398"/>
      <c r="F15" s="398">
        <v>33</v>
      </c>
      <c r="G15" s="398"/>
      <c r="H15" s="398">
        <v>36</v>
      </c>
      <c r="I15" s="398">
        <v>34</v>
      </c>
      <c r="J15" s="398">
        <v>32</v>
      </c>
      <c r="K15" s="398"/>
      <c r="L15" s="398">
        <v>34</v>
      </c>
      <c r="M15" s="416"/>
      <c r="N15" s="398">
        <v>34</v>
      </c>
      <c r="O15" s="398"/>
      <c r="P15" s="398"/>
      <c r="Q15" s="398"/>
      <c r="R15" s="398"/>
      <c r="S15" s="398"/>
      <c r="T15" s="398">
        <v>35</v>
      </c>
      <c r="U15" s="398">
        <v>32</v>
      </c>
      <c r="V15" s="398">
        <v>42</v>
      </c>
      <c r="W15" s="398"/>
      <c r="X15" s="398"/>
      <c r="Y15" s="398"/>
      <c r="Z15" s="398">
        <v>36</v>
      </c>
      <c r="AA15" s="399">
        <v>34</v>
      </c>
      <c r="AB15" s="398"/>
      <c r="AC15" s="398">
        <v>33</v>
      </c>
      <c r="AD15" s="388"/>
      <c r="AE15" s="387">
        <v>35</v>
      </c>
      <c r="AF15" s="387">
        <v>33</v>
      </c>
      <c r="AG15" s="387"/>
      <c r="AH15" s="388"/>
      <c r="AI15" s="41">
        <f>COUNTIF(D15:AH15,"&gt;0")</f>
        <v>14</v>
      </c>
      <c r="AJ15" s="42">
        <f>IF(AI15&lt;19,18-AI15,0)</f>
        <v>4</v>
      </c>
      <c r="AK15" s="42">
        <f>SUM(AI15:AJ15)</f>
        <v>18</v>
      </c>
      <c r="AL15" s="42">
        <f>LARGE(D15:AH15,1)</f>
        <v>42</v>
      </c>
      <c r="AN15" s="37" t="str">
        <f>IF(AI15&gt;18,"OBS"," ")</f>
        <v xml:space="preserve"> </v>
      </c>
      <c r="AO15" s="14"/>
    </row>
    <row r="16" spans="1:41" x14ac:dyDescent="0.2">
      <c r="B16" s="149" t="s">
        <v>37</v>
      </c>
      <c r="C16" s="150">
        <f>(SUM(D16:AH16)+AJ16*37)/AK16</f>
        <v>35.333333333333336</v>
      </c>
      <c r="D16" s="398">
        <v>36</v>
      </c>
      <c r="E16" s="398">
        <v>32</v>
      </c>
      <c r="F16" s="398"/>
      <c r="G16" s="398"/>
      <c r="H16" s="398">
        <v>41</v>
      </c>
      <c r="I16" s="398"/>
      <c r="J16" s="398"/>
      <c r="K16" s="398"/>
      <c r="L16" s="398"/>
      <c r="M16" s="415"/>
      <c r="N16" s="398">
        <v>30</v>
      </c>
      <c r="O16" s="398">
        <v>33</v>
      </c>
      <c r="P16" s="398">
        <v>34</v>
      </c>
      <c r="Q16" s="398">
        <v>40</v>
      </c>
      <c r="R16" s="398">
        <v>32</v>
      </c>
      <c r="S16" s="398">
        <v>33</v>
      </c>
      <c r="T16" s="398">
        <v>32</v>
      </c>
      <c r="U16" s="398"/>
      <c r="V16" s="398"/>
      <c r="W16" s="398"/>
      <c r="X16" s="398"/>
      <c r="Y16" s="398">
        <v>36</v>
      </c>
      <c r="Z16" s="398">
        <v>39</v>
      </c>
      <c r="AA16" s="399">
        <v>37</v>
      </c>
      <c r="AB16" s="398">
        <v>38</v>
      </c>
      <c r="AC16" s="398">
        <v>31</v>
      </c>
      <c r="AD16" s="388"/>
      <c r="AE16" s="387"/>
      <c r="AF16" s="387" t="s">
        <v>99</v>
      </c>
      <c r="AG16" s="387"/>
      <c r="AH16" s="388">
        <v>38</v>
      </c>
      <c r="AI16" s="41">
        <f>COUNTIF(D16:AH16,"&gt;0")</f>
        <v>16</v>
      </c>
      <c r="AJ16" s="42">
        <f>IF(AI16&lt;19,18-AI16,0)</f>
        <v>2</v>
      </c>
      <c r="AK16" s="42">
        <f>SUM(AI16:AJ16)</f>
        <v>18</v>
      </c>
      <c r="AL16" s="42">
        <f>LARGE(D16:AH16,1)</f>
        <v>41</v>
      </c>
      <c r="AN16" s="37" t="str">
        <f>IF(AI16&gt;18,"OBS"," ")</f>
        <v xml:space="preserve"> </v>
      </c>
    </row>
    <row r="17" spans="1:40" x14ac:dyDescent="0.2">
      <c r="B17" s="149" t="s">
        <v>33</v>
      </c>
      <c r="C17" s="150">
        <f>(SUM(D17:AH17)+AJ17*37)/AK17</f>
        <v>35.388888888888886</v>
      </c>
      <c r="D17" s="399"/>
      <c r="E17" s="399"/>
      <c r="F17" s="399"/>
      <c r="G17" s="399">
        <v>26</v>
      </c>
      <c r="H17" s="399"/>
      <c r="I17" s="398">
        <v>34</v>
      </c>
      <c r="J17" s="398">
        <v>33</v>
      </c>
      <c r="K17" s="399"/>
      <c r="L17" s="399"/>
      <c r="M17" s="415"/>
      <c r="N17" s="398">
        <v>40</v>
      </c>
      <c r="O17" s="399"/>
      <c r="P17" s="399"/>
      <c r="Q17" s="399">
        <v>35</v>
      </c>
      <c r="R17" s="399"/>
      <c r="S17" s="398"/>
      <c r="T17" s="398">
        <v>31</v>
      </c>
      <c r="U17" s="398">
        <v>33</v>
      </c>
      <c r="V17" s="398"/>
      <c r="W17" s="398"/>
      <c r="X17" s="398">
        <v>35</v>
      </c>
      <c r="Y17" s="398"/>
      <c r="Z17" s="399"/>
      <c r="AA17" s="398"/>
      <c r="AB17" s="398">
        <v>39</v>
      </c>
      <c r="AC17" s="399"/>
      <c r="AD17" s="387">
        <v>40</v>
      </c>
      <c r="AE17" s="387"/>
      <c r="AF17" s="387">
        <v>32</v>
      </c>
      <c r="AG17" s="387">
        <v>38</v>
      </c>
      <c r="AH17" s="388">
        <v>36</v>
      </c>
      <c r="AI17" s="41">
        <f>COUNTIF(D17:AH17,"&gt;0")</f>
        <v>13</v>
      </c>
      <c r="AJ17" s="42">
        <f>IF(AI17&lt;19,18-AI17,0)</f>
        <v>5</v>
      </c>
      <c r="AK17" s="42">
        <f>SUM(AI17:AJ17)</f>
        <v>18</v>
      </c>
      <c r="AL17" s="42">
        <f>LARGE(D17:AH17,1)</f>
        <v>40</v>
      </c>
      <c r="AN17" s="37" t="str">
        <f>IF(AI17&gt;18,"OBS"," ")</f>
        <v xml:space="preserve"> </v>
      </c>
    </row>
    <row r="18" spans="1:40" x14ac:dyDescent="0.2">
      <c r="B18" s="149" t="s">
        <v>53</v>
      </c>
      <c r="C18" s="150">
        <f>(SUM(D18:AH18)+AJ18*37)/AK18</f>
        <v>35.888888888888886</v>
      </c>
      <c r="D18" s="398">
        <v>31</v>
      </c>
      <c r="E18" s="398"/>
      <c r="F18" s="398">
        <v>39</v>
      </c>
      <c r="G18" s="398"/>
      <c r="H18" s="398"/>
      <c r="I18" s="398"/>
      <c r="J18" s="398"/>
      <c r="K18" s="398">
        <v>35</v>
      </c>
      <c r="L18" s="398">
        <v>37</v>
      </c>
      <c r="M18" s="415"/>
      <c r="N18" s="398"/>
      <c r="O18" s="398"/>
      <c r="P18" s="398"/>
      <c r="Q18" s="398">
        <v>39</v>
      </c>
      <c r="R18" s="398"/>
      <c r="S18" s="398">
        <v>31</v>
      </c>
      <c r="T18" s="398">
        <v>33</v>
      </c>
      <c r="U18" s="398">
        <v>37</v>
      </c>
      <c r="V18" s="398"/>
      <c r="W18" s="398"/>
      <c r="X18" s="398">
        <v>34</v>
      </c>
      <c r="Y18" s="398"/>
      <c r="Z18" s="398">
        <v>39</v>
      </c>
      <c r="AA18" s="398"/>
      <c r="AB18" s="398"/>
      <c r="AC18" s="398"/>
      <c r="AD18" s="388">
        <v>36</v>
      </c>
      <c r="AE18" s="387"/>
      <c r="AF18" s="387">
        <v>33</v>
      </c>
      <c r="AG18" s="387"/>
      <c r="AH18" s="388">
        <v>37</v>
      </c>
      <c r="AI18" s="41">
        <f>COUNTIF(D18:AH18,"&gt;0")</f>
        <v>13</v>
      </c>
      <c r="AJ18" s="42">
        <f>IF(AI18&lt;19,18-AI18,0)</f>
        <v>5</v>
      </c>
      <c r="AK18" s="42">
        <f>SUM(AI18:AJ18)</f>
        <v>18</v>
      </c>
      <c r="AL18" s="42">
        <f>LARGE(D18:AH18,1)</f>
        <v>39</v>
      </c>
      <c r="AN18" s="37" t="str">
        <f>IF(AI18&gt;18,"OBS"," ")</f>
        <v xml:space="preserve"> </v>
      </c>
    </row>
    <row r="19" spans="1:40" x14ac:dyDescent="0.2">
      <c r="A19" s="24"/>
      <c r="B19" s="149" t="s">
        <v>25</v>
      </c>
      <c r="C19" s="150">
        <f>(SUM(D19:AH19)+AJ19*37)/AK19</f>
        <v>36.055555555555557</v>
      </c>
      <c r="D19" s="398"/>
      <c r="E19" s="398"/>
      <c r="F19" s="398">
        <v>34</v>
      </c>
      <c r="G19" s="398"/>
      <c r="H19" s="398"/>
      <c r="I19" s="398"/>
      <c r="J19" s="398"/>
      <c r="K19" s="398">
        <v>31</v>
      </c>
      <c r="L19" s="398"/>
      <c r="M19" s="415"/>
      <c r="N19" s="398">
        <v>39</v>
      </c>
      <c r="O19" s="398"/>
      <c r="P19" s="398"/>
      <c r="Q19" s="398">
        <v>40</v>
      </c>
      <c r="R19" s="398"/>
      <c r="S19" s="398">
        <v>34</v>
      </c>
      <c r="T19" s="398">
        <v>41</v>
      </c>
      <c r="U19" s="398">
        <v>37</v>
      </c>
      <c r="V19" s="398"/>
      <c r="W19" s="398"/>
      <c r="X19" s="398"/>
      <c r="Y19" s="398"/>
      <c r="Z19" s="398"/>
      <c r="AA19" s="398">
        <v>37</v>
      </c>
      <c r="AB19" s="398">
        <v>38</v>
      </c>
      <c r="AC19" s="398">
        <v>31</v>
      </c>
      <c r="AD19" s="388"/>
      <c r="AE19" s="387"/>
      <c r="AF19" s="387">
        <v>30</v>
      </c>
      <c r="AG19" s="387">
        <v>36</v>
      </c>
      <c r="AH19" s="388">
        <v>36</v>
      </c>
      <c r="AI19" s="41">
        <f>COUNTIF(D19:AH19,"&gt;0")</f>
        <v>13</v>
      </c>
      <c r="AJ19" s="42">
        <f>IF(AI19&lt;19,18-AI19,0)</f>
        <v>5</v>
      </c>
      <c r="AK19" s="42">
        <f>SUM(AI19:AJ19)</f>
        <v>18</v>
      </c>
      <c r="AL19" s="42">
        <f>LARGE(D19:AH19,1)</f>
        <v>41</v>
      </c>
      <c r="AN19" s="37" t="str">
        <f>IF(AI19&gt;18,"OBS"," ")</f>
        <v xml:space="preserve"> </v>
      </c>
    </row>
    <row r="20" spans="1:40" x14ac:dyDescent="0.2">
      <c r="B20" s="149" t="s">
        <v>41</v>
      </c>
      <c r="C20" s="150">
        <f>(SUM(D20:AH20)+AJ20*37)/AK20</f>
        <v>36.111111111111114</v>
      </c>
      <c r="D20" s="398">
        <v>38</v>
      </c>
      <c r="E20" s="398">
        <v>35</v>
      </c>
      <c r="F20" s="398">
        <v>39</v>
      </c>
      <c r="G20" s="399">
        <v>39</v>
      </c>
      <c r="H20" s="399">
        <v>36</v>
      </c>
      <c r="I20" s="398"/>
      <c r="J20" s="398"/>
      <c r="K20" s="398">
        <v>37</v>
      </c>
      <c r="L20" s="414" t="s">
        <v>274</v>
      </c>
      <c r="M20" s="415"/>
      <c r="N20" s="399">
        <v>38</v>
      </c>
      <c r="O20" s="399">
        <v>31</v>
      </c>
      <c r="P20" s="398">
        <v>35</v>
      </c>
      <c r="Q20" s="398"/>
      <c r="R20" s="398"/>
      <c r="S20" s="398"/>
      <c r="T20" s="398"/>
      <c r="U20" s="414" t="s">
        <v>274</v>
      </c>
      <c r="V20" s="414" t="s">
        <v>288</v>
      </c>
      <c r="W20" s="398"/>
      <c r="X20" s="398">
        <v>35</v>
      </c>
      <c r="Y20" s="398">
        <v>38</v>
      </c>
      <c r="Z20" s="398">
        <v>37</v>
      </c>
      <c r="AA20" s="399">
        <v>34</v>
      </c>
      <c r="AB20" s="414" t="s">
        <v>274</v>
      </c>
      <c r="AC20" s="398">
        <v>38</v>
      </c>
      <c r="AD20" s="388">
        <v>36</v>
      </c>
      <c r="AE20" s="387">
        <v>34</v>
      </c>
      <c r="AF20" s="387">
        <v>36</v>
      </c>
      <c r="AG20" s="387">
        <v>34</v>
      </c>
      <c r="AH20" s="387"/>
      <c r="AI20" s="41">
        <f>COUNTIF(D20:AH20,"&gt;0")</f>
        <v>18</v>
      </c>
      <c r="AJ20" s="42">
        <f>IF(AI20&lt;19,18-AI20,0)</f>
        <v>0</v>
      </c>
      <c r="AK20" s="42">
        <f>SUM(AI20:AJ20)</f>
        <v>18</v>
      </c>
      <c r="AL20" s="42">
        <f>LARGE(D20:AH20,1)</f>
        <v>39</v>
      </c>
      <c r="AN20" s="37" t="str">
        <f>IF(AI20&gt;18,"OBS"," ")</f>
        <v xml:space="preserve"> </v>
      </c>
    </row>
    <row r="21" spans="1:40" x14ac:dyDescent="0.2">
      <c r="B21" s="149" t="s">
        <v>181</v>
      </c>
      <c r="C21" s="150">
        <f>(SUM(D21:AH21)+AJ21*37)/AK21</f>
        <v>36.611111111111114</v>
      </c>
      <c r="D21" s="398"/>
      <c r="E21" s="398"/>
      <c r="F21" s="398"/>
      <c r="G21" s="398"/>
      <c r="H21" s="398"/>
      <c r="I21" s="398"/>
      <c r="J21" s="398"/>
      <c r="K21" s="398"/>
      <c r="L21" s="398"/>
      <c r="M21" s="415"/>
      <c r="N21" s="398"/>
      <c r="O21" s="398"/>
      <c r="P21" s="399"/>
      <c r="Q21" s="399">
        <v>38</v>
      </c>
      <c r="R21" s="398">
        <v>35</v>
      </c>
      <c r="S21" s="398">
        <v>32</v>
      </c>
      <c r="T21" s="398"/>
      <c r="U21" s="399">
        <v>33</v>
      </c>
      <c r="V21" s="398">
        <v>38</v>
      </c>
      <c r="W21" s="398"/>
      <c r="X21" s="399">
        <v>33</v>
      </c>
      <c r="Y21" s="398"/>
      <c r="Z21" s="398"/>
      <c r="AA21" s="398"/>
      <c r="AB21" s="398">
        <v>42</v>
      </c>
      <c r="AC21" s="398">
        <v>36</v>
      </c>
      <c r="AD21" s="387"/>
      <c r="AE21" s="387"/>
      <c r="AF21" s="387"/>
      <c r="AG21" s="387">
        <v>39</v>
      </c>
      <c r="AH21" s="387"/>
      <c r="AI21" s="41">
        <f>COUNTIF(D21:AH21,"&gt;0")</f>
        <v>9</v>
      </c>
      <c r="AJ21" s="42">
        <f>IF(AI21&lt;19,18-AI21,0)</f>
        <v>9</v>
      </c>
      <c r="AK21" s="42">
        <f>SUM(AI21:AJ21)</f>
        <v>18</v>
      </c>
      <c r="AL21" s="42">
        <f>LARGE(D21:AH21,1)</f>
        <v>42</v>
      </c>
      <c r="AN21" s="37" t="str">
        <f>IF(AI21&gt;18,"OBS"," ")</f>
        <v xml:space="preserve"> </v>
      </c>
    </row>
    <row r="22" spans="1:40" x14ac:dyDescent="0.2">
      <c r="B22" s="149" t="s">
        <v>21</v>
      </c>
      <c r="C22" s="150">
        <f>(SUM(D22:AH22)+AJ22*37)/AK22</f>
        <v>36.833333333333336</v>
      </c>
      <c r="D22" s="399"/>
      <c r="E22" s="398">
        <v>39</v>
      </c>
      <c r="F22" s="398"/>
      <c r="G22" s="398">
        <v>34</v>
      </c>
      <c r="H22" s="398">
        <v>39</v>
      </c>
      <c r="I22" s="398"/>
      <c r="J22" s="398"/>
      <c r="K22" s="398"/>
      <c r="L22" s="398">
        <v>35</v>
      </c>
      <c r="M22" s="415"/>
      <c r="N22" s="399">
        <v>38</v>
      </c>
      <c r="O22" s="398"/>
      <c r="P22" s="398"/>
      <c r="Q22" s="398"/>
      <c r="R22" s="398"/>
      <c r="S22" s="398"/>
      <c r="T22" s="398"/>
      <c r="U22" s="399"/>
      <c r="V22" s="398"/>
      <c r="W22" s="398"/>
      <c r="X22" s="398">
        <v>34</v>
      </c>
      <c r="Y22" s="398"/>
      <c r="Z22" s="398">
        <v>30</v>
      </c>
      <c r="AA22" s="399">
        <v>38</v>
      </c>
      <c r="AB22" s="398"/>
      <c r="AC22" s="398"/>
      <c r="AD22" s="388"/>
      <c r="AE22" s="387"/>
      <c r="AF22" s="387"/>
      <c r="AG22" s="387">
        <v>39</v>
      </c>
      <c r="AH22" s="388">
        <v>41</v>
      </c>
      <c r="AI22" s="41">
        <f>COUNTIF(D22:AH22,"&gt;0")</f>
        <v>10</v>
      </c>
      <c r="AJ22" s="42">
        <f>IF(AI22&lt;19,18-AI22,0)</f>
        <v>8</v>
      </c>
      <c r="AK22" s="42">
        <f>SUM(AI22:AJ22)</f>
        <v>18</v>
      </c>
      <c r="AL22" s="42">
        <f>LARGE(D22:AH22,1)</f>
        <v>41</v>
      </c>
      <c r="AN22" s="37" t="str">
        <f>IF(AI22&gt;18,"OBS"," ")</f>
        <v xml:space="preserve"> </v>
      </c>
    </row>
    <row r="23" spans="1:40" x14ac:dyDescent="0.2">
      <c r="B23" s="149" t="s">
        <v>9</v>
      </c>
      <c r="C23" s="150">
        <f>(SUM(D23:AH23)+AJ23*37)/AK23</f>
        <v>36.888888888888886</v>
      </c>
      <c r="D23" s="398"/>
      <c r="E23" s="398">
        <v>40</v>
      </c>
      <c r="F23" s="398">
        <v>46</v>
      </c>
      <c r="G23" s="398">
        <v>30</v>
      </c>
      <c r="H23" s="398"/>
      <c r="I23" s="398"/>
      <c r="J23" s="398"/>
      <c r="K23" s="399"/>
      <c r="L23" s="398"/>
      <c r="M23" s="415"/>
      <c r="N23" s="398">
        <v>38</v>
      </c>
      <c r="O23" s="399">
        <v>33</v>
      </c>
      <c r="P23" s="398"/>
      <c r="Q23" s="398">
        <v>30</v>
      </c>
      <c r="R23" s="398">
        <v>34</v>
      </c>
      <c r="S23" s="398">
        <v>37</v>
      </c>
      <c r="T23" s="398">
        <v>39</v>
      </c>
      <c r="U23" s="398">
        <v>36</v>
      </c>
      <c r="V23" s="398">
        <v>37</v>
      </c>
      <c r="W23" s="398"/>
      <c r="X23" s="398">
        <v>36</v>
      </c>
      <c r="Y23" s="398"/>
      <c r="Z23" s="399">
        <v>35</v>
      </c>
      <c r="AA23" s="399">
        <v>41</v>
      </c>
      <c r="AB23" s="398">
        <v>41</v>
      </c>
      <c r="AC23" s="398"/>
      <c r="AD23" s="388"/>
      <c r="AE23" s="387"/>
      <c r="AF23" s="387">
        <v>37</v>
      </c>
      <c r="AG23" s="387">
        <v>36</v>
      </c>
      <c r="AH23" s="387">
        <v>38</v>
      </c>
      <c r="AI23" s="41">
        <f>COUNTIF(D23:AH23,"&gt;0")</f>
        <v>18</v>
      </c>
      <c r="AJ23" s="42">
        <f>IF(AI23&lt;19,18-AI23,0)</f>
        <v>0</v>
      </c>
      <c r="AK23" s="42">
        <f>SUM(AI23:AJ23)</f>
        <v>18</v>
      </c>
      <c r="AL23" s="42">
        <f>LARGE(D23:AH23,1)</f>
        <v>46</v>
      </c>
      <c r="AN23" s="37" t="str">
        <f>IF(AI23&gt;18,"OBS"," ")</f>
        <v xml:space="preserve"> </v>
      </c>
    </row>
    <row r="24" spans="1:40" x14ac:dyDescent="0.2">
      <c r="B24" s="149" t="s">
        <v>17</v>
      </c>
      <c r="C24" s="150">
        <f>(SUM(D24:AH24)+AJ24*37)/AK24</f>
        <v>36.944444444444443</v>
      </c>
      <c r="D24" s="398">
        <v>39</v>
      </c>
      <c r="E24" s="398"/>
      <c r="F24" s="399"/>
      <c r="G24" s="398">
        <v>41</v>
      </c>
      <c r="H24" s="398">
        <v>42</v>
      </c>
      <c r="I24" s="399"/>
      <c r="J24" s="399"/>
      <c r="K24" s="399">
        <v>36</v>
      </c>
      <c r="L24" s="399"/>
      <c r="M24" s="415"/>
      <c r="N24" s="398"/>
      <c r="O24" s="398">
        <v>28</v>
      </c>
      <c r="P24" s="398"/>
      <c r="Q24" s="398">
        <v>41</v>
      </c>
      <c r="R24" s="398"/>
      <c r="S24" s="398"/>
      <c r="T24" s="398">
        <v>37</v>
      </c>
      <c r="U24" s="399">
        <v>34</v>
      </c>
      <c r="V24" s="399">
        <v>33</v>
      </c>
      <c r="W24" s="398">
        <v>30</v>
      </c>
      <c r="X24" s="399">
        <v>35</v>
      </c>
      <c r="Y24" s="398">
        <v>43</v>
      </c>
      <c r="Z24" s="399"/>
      <c r="AA24" s="398">
        <v>41</v>
      </c>
      <c r="AB24" s="398">
        <v>36</v>
      </c>
      <c r="AC24" s="399"/>
      <c r="AD24" s="388"/>
      <c r="AE24" s="387">
        <v>40</v>
      </c>
      <c r="AF24" s="387">
        <v>41</v>
      </c>
      <c r="AG24" s="387">
        <v>31</v>
      </c>
      <c r="AH24" s="388"/>
      <c r="AI24" s="41">
        <f>COUNTIF(D24:AH24,"&gt;0")</f>
        <v>17</v>
      </c>
      <c r="AJ24" s="42">
        <f>IF(AI24&lt;19,18-AI24,0)</f>
        <v>1</v>
      </c>
      <c r="AK24" s="42">
        <f>SUM(AI24:AJ24)</f>
        <v>18</v>
      </c>
      <c r="AL24" s="42">
        <f>LARGE(D24:AH24,1)</f>
        <v>43</v>
      </c>
      <c r="AM24" s="24"/>
      <c r="AN24" s="37" t="str">
        <f>IF(AI24&gt;18,"OBS"," ")</f>
        <v xml:space="preserve"> </v>
      </c>
    </row>
    <row r="25" spans="1:40" x14ac:dyDescent="0.2">
      <c r="B25" s="149" t="s">
        <v>51</v>
      </c>
      <c r="C25" s="150">
        <f>(SUM(D25:AH25)+AJ25*37)/AK25</f>
        <v>37.722222222222221</v>
      </c>
      <c r="D25" s="398"/>
      <c r="E25" s="398"/>
      <c r="F25" s="398"/>
      <c r="G25" s="398"/>
      <c r="H25" s="398"/>
      <c r="I25" s="398"/>
      <c r="J25" s="398"/>
      <c r="K25" s="398"/>
      <c r="L25" s="398"/>
      <c r="M25" s="415"/>
      <c r="N25" s="398">
        <v>36</v>
      </c>
      <c r="O25" s="399"/>
      <c r="P25" s="398"/>
      <c r="Q25" s="398"/>
      <c r="R25" s="398"/>
      <c r="S25" s="398">
        <v>42</v>
      </c>
      <c r="T25" s="398">
        <v>37</v>
      </c>
      <c r="U25" s="398">
        <v>41</v>
      </c>
      <c r="V25" s="398"/>
      <c r="W25" s="398"/>
      <c r="X25" s="398"/>
      <c r="Y25" s="398"/>
      <c r="Z25" s="398">
        <v>39</v>
      </c>
      <c r="AA25" s="398"/>
      <c r="AB25" s="398"/>
      <c r="AC25" s="398"/>
      <c r="AD25" s="388"/>
      <c r="AE25" s="387">
        <v>40</v>
      </c>
      <c r="AF25" s="387"/>
      <c r="AG25" s="387">
        <v>37</v>
      </c>
      <c r="AH25" s="388"/>
      <c r="AI25" s="41">
        <f>COUNTIF(D25:AH25,"&gt;0")</f>
        <v>7</v>
      </c>
      <c r="AJ25" s="42">
        <f>IF(AI25&lt;19,18-AI25,0)</f>
        <v>11</v>
      </c>
      <c r="AK25" s="42">
        <f>SUM(AI25:AJ25)</f>
        <v>18</v>
      </c>
      <c r="AL25" s="42">
        <f>LARGE(D25:AH25,1)</f>
        <v>42</v>
      </c>
      <c r="AN25" s="37" t="str">
        <f>IF(AI25&gt;18,"OBS"," ")</f>
        <v xml:space="preserve"> </v>
      </c>
    </row>
    <row r="26" spans="1:40" x14ac:dyDescent="0.2">
      <c r="B26" s="149" t="s">
        <v>27</v>
      </c>
      <c r="C26" s="150">
        <f>(SUM(D26:AH26)+AJ26*37)/AK26</f>
        <v>38.888888888888886</v>
      </c>
      <c r="D26" s="398"/>
      <c r="E26" s="398">
        <v>40</v>
      </c>
      <c r="F26" s="399"/>
      <c r="G26" s="398">
        <v>39</v>
      </c>
      <c r="H26" s="398">
        <v>41</v>
      </c>
      <c r="I26" s="399"/>
      <c r="J26" s="399"/>
      <c r="K26" s="399"/>
      <c r="L26" s="398"/>
      <c r="M26" s="415"/>
      <c r="N26" s="398">
        <v>40</v>
      </c>
      <c r="O26" s="398"/>
      <c r="P26" s="398">
        <v>40</v>
      </c>
      <c r="Q26" s="398"/>
      <c r="R26" s="398">
        <v>46</v>
      </c>
      <c r="S26" s="398"/>
      <c r="T26" s="398"/>
      <c r="U26" s="399"/>
      <c r="V26" s="398">
        <v>33</v>
      </c>
      <c r="W26" s="398">
        <v>36</v>
      </c>
      <c r="X26" s="398">
        <v>33</v>
      </c>
      <c r="Y26" s="399">
        <v>43</v>
      </c>
      <c r="Z26" s="398">
        <v>38</v>
      </c>
      <c r="AA26" s="398">
        <v>39</v>
      </c>
      <c r="AB26" s="398"/>
      <c r="AC26" s="398">
        <v>33</v>
      </c>
      <c r="AD26" s="388">
        <v>44</v>
      </c>
      <c r="AE26" s="387">
        <v>39</v>
      </c>
      <c r="AF26" s="387">
        <v>33</v>
      </c>
      <c r="AG26" s="387">
        <v>40</v>
      </c>
      <c r="AH26" s="388">
        <v>43</v>
      </c>
      <c r="AI26" s="41">
        <f>COUNTIF(D26:AH26,"&gt;0")</f>
        <v>18</v>
      </c>
      <c r="AJ26" s="42">
        <f>IF(AI26&lt;19,18-AI26,0)</f>
        <v>0</v>
      </c>
      <c r="AK26" s="42">
        <f>SUM(AI26:AJ26)</f>
        <v>18</v>
      </c>
      <c r="AL26" s="42">
        <f>LARGE(D26:AH26,1)</f>
        <v>46</v>
      </c>
      <c r="AN26" s="37" t="str">
        <f>IF(AI26&gt;18,"OBS"," ")</f>
        <v xml:space="preserve"> </v>
      </c>
    </row>
    <row r="27" spans="1:40" x14ac:dyDescent="0.2">
      <c r="B27" s="152" t="s">
        <v>47</v>
      </c>
      <c r="C27" s="153">
        <f>(SUM(D27:AH27)+AJ27*37)/AK27</f>
        <v>39.055555555555557</v>
      </c>
      <c r="D27" s="400">
        <v>39</v>
      </c>
      <c r="E27" s="400"/>
      <c r="F27" s="400">
        <v>36</v>
      </c>
      <c r="G27" s="400"/>
      <c r="H27" s="400">
        <v>38</v>
      </c>
      <c r="I27" s="400"/>
      <c r="J27" s="400"/>
      <c r="K27" s="400">
        <v>46</v>
      </c>
      <c r="L27" s="398">
        <v>42</v>
      </c>
      <c r="M27" s="417"/>
      <c r="N27" s="400">
        <v>40</v>
      </c>
      <c r="O27" s="400">
        <v>32</v>
      </c>
      <c r="P27" s="400">
        <v>36</v>
      </c>
      <c r="Q27" s="401">
        <v>40</v>
      </c>
      <c r="R27" s="400"/>
      <c r="S27" s="400">
        <v>41</v>
      </c>
      <c r="T27" s="398"/>
      <c r="U27" s="400"/>
      <c r="V27" s="400"/>
      <c r="W27" s="398"/>
      <c r="X27" s="398"/>
      <c r="Y27" s="398">
        <v>44</v>
      </c>
      <c r="Z27" s="398">
        <v>44</v>
      </c>
      <c r="AA27" s="400">
        <v>38</v>
      </c>
      <c r="AB27" s="401"/>
      <c r="AC27" s="400"/>
      <c r="AD27" s="394">
        <v>38</v>
      </c>
      <c r="AE27" s="387">
        <v>32</v>
      </c>
      <c r="AF27" s="387">
        <v>36</v>
      </c>
      <c r="AG27" s="387">
        <v>44</v>
      </c>
      <c r="AH27" s="418">
        <v>37</v>
      </c>
      <c r="AI27" s="41">
        <f>COUNTIF(D27:AH27,"&gt;0")</f>
        <v>18</v>
      </c>
      <c r="AJ27" s="42">
        <f>IF(AI27&lt;19,18-AI27,0)</f>
        <v>0</v>
      </c>
      <c r="AK27" s="42">
        <f>SUM(AI27:AJ27)</f>
        <v>18</v>
      </c>
      <c r="AL27" s="42">
        <f>LARGE(D27:AH27,1)</f>
        <v>46</v>
      </c>
      <c r="AM27" s="24"/>
      <c r="AN27" s="37" t="str">
        <f>IF(AI27&gt;18,"OBS"," ")</f>
        <v xml:space="preserve"> </v>
      </c>
    </row>
    <row r="28" spans="1:40" x14ac:dyDescent="0.2">
      <c r="D28" s="43">
        <f>SUM(D3:D27)</f>
        <v>353</v>
      </c>
      <c r="E28" s="43">
        <f>SUM(E3:E27)</f>
        <v>338</v>
      </c>
      <c r="F28" s="43">
        <f>SUM(F3:F27)</f>
        <v>405</v>
      </c>
      <c r="G28" s="43">
        <f>SUM(G3:G27)</f>
        <v>415</v>
      </c>
      <c r="H28" s="43">
        <f>SUM(H3:H27)</f>
        <v>411</v>
      </c>
      <c r="I28" s="43">
        <f>SUM(I3:I27)</f>
        <v>355</v>
      </c>
      <c r="J28" s="43">
        <f>SUM(J3:J27)</f>
        <v>352</v>
      </c>
      <c r="K28" s="43">
        <f>SUM(K3:K27)</f>
        <v>385</v>
      </c>
      <c r="L28" s="43">
        <f>SUM(L3:L27)</f>
        <v>484</v>
      </c>
      <c r="M28" s="43">
        <f>SUM(M3:M27)</f>
        <v>0</v>
      </c>
      <c r="N28" s="43">
        <f>SUM(N3:N27)</f>
        <v>546</v>
      </c>
      <c r="O28" s="43">
        <f>SUM(O3:O27)</f>
        <v>486</v>
      </c>
      <c r="P28" s="43">
        <f>SUM(P3:P27)</f>
        <v>402</v>
      </c>
      <c r="Q28" s="43">
        <f>SUM(Q3:Q27)</f>
        <v>458</v>
      </c>
      <c r="R28" s="43">
        <f>SUM(R3:R27)</f>
        <v>361</v>
      </c>
      <c r="S28" s="43">
        <f>SUM(S3:S27)</f>
        <v>469</v>
      </c>
      <c r="T28" s="43">
        <f>SUM(T3:T27)</f>
        <v>557</v>
      </c>
      <c r="U28" s="43">
        <f>SUM(U3:U27)</f>
        <v>515</v>
      </c>
      <c r="V28" s="43">
        <f>SUM(V3:V27)</f>
        <v>377</v>
      </c>
      <c r="W28" s="43">
        <f>SUM(W3:W27)</f>
        <v>231</v>
      </c>
      <c r="X28" s="43">
        <f>SUM(X3:X27)</f>
        <v>555</v>
      </c>
      <c r="Y28" s="43">
        <f>SUM(Y3:Y27)</f>
        <v>299</v>
      </c>
      <c r="Z28" s="43">
        <f>SUM(Z3:Z27)</f>
        <v>553</v>
      </c>
      <c r="AA28" s="43">
        <f>SUM(AA3:AA27)</f>
        <v>642</v>
      </c>
      <c r="AB28" s="43">
        <f>SUM(AB3:AB27)</f>
        <v>401</v>
      </c>
      <c r="AC28" s="43">
        <f>SUM(AC3:AC27)</f>
        <v>414</v>
      </c>
      <c r="AD28" s="43">
        <f>SUM(AD3:AD27)</f>
        <v>431</v>
      </c>
      <c r="AE28" s="43">
        <f>SUM(AE3:AE27)</f>
        <v>451</v>
      </c>
      <c r="AF28" s="43">
        <f>SUM(AF3:AF27)</f>
        <v>643</v>
      </c>
      <c r="AG28" s="43">
        <f>SUM(AG3:AG27)</f>
        <v>505</v>
      </c>
      <c r="AH28" s="43">
        <f>SUM(AH3:AH27)</f>
        <v>446</v>
      </c>
      <c r="AN28" s="37"/>
    </row>
    <row r="29" spans="1:40" x14ac:dyDescent="0.2">
      <c r="B29" s="184" t="s">
        <v>67</v>
      </c>
      <c r="C29" s="47"/>
      <c r="D29" s="47"/>
      <c r="E29" s="47"/>
      <c r="F29" s="47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4"/>
      <c r="U29" s="184"/>
      <c r="V29" s="184"/>
      <c r="W29" s="184"/>
      <c r="X29" s="33"/>
      <c r="Y29" s="33"/>
      <c r="Z29" s="33"/>
      <c r="AA29" s="36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40" x14ac:dyDescent="0.2">
      <c r="B30" s="184" t="s">
        <v>68</v>
      </c>
      <c r="C30" s="184"/>
      <c r="D30" s="184"/>
      <c r="E30" s="184"/>
      <c r="F30" s="184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4"/>
      <c r="U30" s="184"/>
      <c r="V30" s="184"/>
      <c r="W30" s="184"/>
      <c r="X30" s="33"/>
      <c r="Y30" s="33"/>
      <c r="Z30" s="33"/>
      <c r="AA30" s="36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40" ht="12.75" customHeight="1" x14ac:dyDescent="0.2">
      <c r="C31" s="44"/>
      <c r="D31" s="44"/>
      <c r="E31" s="44"/>
      <c r="F31" s="44"/>
      <c r="R31" s="16"/>
      <c r="S31" s="16"/>
      <c r="T31" s="44"/>
      <c r="U31" s="44"/>
      <c r="V31" s="44"/>
      <c r="W31" s="44"/>
      <c r="AA31" s="37"/>
    </row>
    <row r="32" spans="1:40" x14ac:dyDescent="0.2">
      <c r="B32" s="45" t="s">
        <v>69</v>
      </c>
      <c r="R32" s="16"/>
      <c r="S32" s="16"/>
      <c r="T32" s="44"/>
      <c r="U32" s="44"/>
      <c r="V32" s="44"/>
      <c r="W32" s="44"/>
      <c r="AA32" s="37"/>
    </row>
  </sheetData>
  <sheetProtection selectLockedCells="1" selectUnlockedCells="1"/>
  <autoFilter ref="A2:AO2" xr:uid="{00000000-0009-0000-0000-000004000000}">
    <sortState ref="A3:AO30">
      <sortCondition ref="C2:C30"/>
    </sortState>
  </autoFilter>
  <sortState ref="B3:AH27">
    <sortCondition ref="B3:B27"/>
  </sortState>
  <phoneticPr fontId="33" type="noConversion"/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rgb="FFFF6600"/>
  </sheetPr>
  <dimension ref="B1:AN84"/>
  <sheetViews>
    <sheetView topLeftCell="B1" workbookViewId="0">
      <selection activeCell="B56" sqref="B56"/>
    </sheetView>
  </sheetViews>
  <sheetFormatPr baseColWidth="10" defaultColWidth="9.1640625" defaultRowHeight="16" x14ac:dyDescent="0.2"/>
  <cols>
    <col min="1" max="1" width="0" style="33" hidden="1" customWidth="1"/>
    <col min="2" max="2" width="16.33203125" style="46" customWidth="1"/>
    <col min="3" max="3" width="13.1640625" style="47" customWidth="1"/>
    <col min="4" max="4" width="15" style="48" customWidth="1"/>
    <col min="5" max="5" width="10.1640625" style="49" customWidth="1"/>
    <col min="6" max="6" width="4" style="33" customWidth="1"/>
    <col min="7" max="7" width="16.6640625" style="33" customWidth="1"/>
    <col min="8" max="8" width="16" style="33" customWidth="1"/>
    <col min="9" max="9" width="8.1640625" style="33" customWidth="1"/>
    <col min="10" max="45" width="4.6640625" style="33" customWidth="1"/>
    <col min="46" max="16384" width="9.1640625" style="33"/>
  </cols>
  <sheetData>
    <row r="1" spans="2:40" ht="20" x14ac:dyDescent="0.2">
      <c r="B1" s="447" t="s">
        <v>70</v>
      </c>
      <c r="C1" s="447"/>
      <c r="D1" s="447"/>
      <c r="E1" s="447"/>
      <c r="F1" s="17"/>
      <c r="G1" s="448" t="s">
        <v>71</v>
      </c>
      <c r="H1" s="448"/>
      <c r="I1" s="44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2:40" s="32" customFormat="1" ht="81.75" customHeight="1" thickBot="1" x14ac:dyDescent="0.2">
      <c r="B2" s="159"/>
      <c r="C2" s="160" t="s">
        <v>72</v>
      </c>
      <c r="D2" s="161" t="s">
        <v>73</v>
      </c>
      <c r="E2" s="162" t="s">
        <v>74</v>
      </c>
      <c r="H2" s="39" t="s">
        <v>75</v>
      </c>
      <c r="I2" s="21" t="s">
        <v>74</v>
      </c>
      <c r="O2" s="51"/>
    </row>
    <row r="3" spans="2:40" s="211" customFormat="1" ht="18" thickBot="1" x14ac:dyDescent="0.2">
      <c r="B3" s="423" t="s">
        <v>39</v>
      </c>
      <c r="C3" s="320">
        <v>0.72</v>
      </c>
      <c r="D3" s="321" t="s">
        <v>208</v>
      </c>
      <c r="E3" s="322">
        <v>43356</v>
      </c>
      <c r="G3" s="230" t="s">
        <v>15</v>
      </c>
      <c r="H3" s="213" t="s">
        <v>235</v>
      </c>
      <c r="I3" s="175">
        <v>43253</v>
      </c>
      <c r="AM3" s="214"/>
      <c r="AN3" s="52"/>
    </row>
    <row r="4" spans="2:40" s="211" customFormat="1" ht="17" x14ac:dyDescent="0.15">
      <c r="B4" s="426" t="s">
        <v>45</v>
      </c>
      <c r="C4" s="168">
        <v>1.39</v>
      </c>
      <c r="D4" s="167" t="s">
        <v>208</v>
      </c>
      <c r="E4" s="322">
        <v>43244</v>
      </c>
      <c r="G4" s="230" t="s">
        <v>15</v>
      </c>
      <c r="H4" s="420" t="s">
        <v>291</v>
      </c>
      <c r="I4" s="215">
        <v>43352</v>
      </c>
      <c r="AM4" s="214"/>
      <c r="AN4" s="52"/>
    </row>
    <row r="5" spans="2:40" s="211" customFormat="1" ht="18" thickBot="1" x14ac:dyDescent="0.2">
      <c r="B5" s="425" t="s">
        <v>49</v>
      </c>
      <c r="C5" s="216">
        <v>1.67</v>
      </c>
      <c r="D5" s="428" t="s">
        <v>208</v>
      </c>
      <c r="E5" s="323">
        <v>43328</v>
      </c>
      <c r="F5" s="217"/>
      <c r="G5" s="212" t="s">
        <v>49</v>
      </c>
      <c r="H5" s="420" t="s">
        <v>291</v>
      </c>
      <c r="I5" s="175">
        <v>43351</v>
      </c>
      <c r="J5" s="217"/>
      <c r="K5" s="217"/>
      <c r="L5" s="217"/>
      <c r="M5" s="217"/>
      <c r="AM5" s="214"/>
      <c r="AN5" s="52"/>
    </row>
    <row r="6" spans="2:40" s="211" customFormat="1" x14ac:dyDescent="0.15">
      <c r="B6" s="424" t="s">
        <v>49</v>
      </c>
      <c r="C6" s="169">
        <v>1.68</v>
      </c>
      <c r="D6" s="427" t="s">
        <v>292</v>
      </c>
      <c r="E6" s="170">
        <v>43351</v>
      </c>
      <c r="AM6" s="214"/>
      <c r="AN6" s="52"/>
    </row>
    <row r="7" spans="2:40" s="211" customFormat="1" ht="17" x14ac:dyDescent="0.15">
      <c r="B7" s="195" t="s">
        <v>41</v>
      </c>
      <c r="C7" s="168">
        <v>1.75</v>
      </c>
      <c r="D7" s="171" t="s">
        <v>219</v>
      </c>
      <c r="E7" s="172">
        <v>43314</v>
      </c>
      <c r="AM7" s="214"/>
      <c r="AN7" s="52"/>
    </row>
    <row r="8" spans="2:40" s="211" customFormat="1" ht="17" x14ac:dyDescent="0.15">
      <c r="B8" s="195" t="s">
        <v>11</v>
      </c>
      <c r="C8" s="168">
        <v>1.77</v>
      </c>
      <c r="D8" s="171" t="s">
        <v>191</v>
      </c>
      <c r="E8" s="172">
        <v>43237</v>
      </c>
      <c r="AM8" s="214"/>
      <c r="AN8" s="52"/>
    </row>
    <row r="9" spans="2:40" s="211" customFormat="1" x14ac:dyDescent="0.15">
      <c r="B9" s="218" t="s">
        <v>19</v>
      </c>
      <c r="C9" s="168">
        <v>1.8</v>
      </c>
      <c r="D9" s="422" t="s">
        <v>293</v>
      </c>
      <c r="E9" s="172">
        <v>43352</v>
      </c>
      <c r="AM9" s="214"/>
      <c r="AN9" s="52"/>
    </row>
    <row r="10" spans="2:40" s="211" customFormat="1" ht="17" x14ac:dyDescent="0.15">
      <c r="B10" s="195" t="s">
        <v>31</v>
      </c>
      <c r="C10" s="168">
        <v>2.09</v>
      </c>
      <c r="D10" s="422" t="s">
        <v>294</v>
      </c>
      <c r="E10" s="172">
        <v>43352</v>
      </c>
      <c r="F10" s="217"/>
      <c r="G10" s="217"/>
      <c r="H10" s="217"/>
      <c r="I10" s="217"/>
      <c r="J10" s="217"/>
      <c r="K10" s="217"/>
      <c r="L10" s="217"/>
      <c r="M10" s="217"/>
      <c r="AM10" s="214"/>
      <c r="AN10" s="52"/>
    </row>
    <row r="11" spans="2:40" s="211" customFormat="1" x14ac:dyDescent="0.15">
      <c r="B11" s="218" t="s">
        <v>37</v>
      </c>
      <c r="C11" s="168">
        <v>2.2799999999999998</v>
      </c>
      <c r="D11" s="171" t="s">
        <v>208</v>
      </c>
      <c r="E11" s="172">
        <v>43286</v>
      </c>
      <c r="AM11" s="214"/>
      <c r="AN11" s="52"/>
    </row>
    <row r="12" spans="2:40" s="211" customFormat="1" ht="17" x14ac:dyDescent="0.15">
      <c r="B12" s="195" t="s">
        <v>29</v>
      </c>
      <c r="C12" s="168">
        <v>2.33</v>
      </c>
      <c r="D12" s="171" t="s">
        <v>259</v>
      </c>
      <c r="E12" s="172">
        <v>43342</v>
      </c>
      <c r="AM12" s="214"/>
      <c r="AN12" s="52"/>
    </row>
    <row r="13" spans="2:40" s="211" customFormat="1" x14ac:dyDescent="0.15">
      <c r="B13" s="218" t="s">
        <v>37</v>
      </c>
      <c r="C13" s="168">
        <v>2.41</v>
      </c>
      <c r="D13" s="171" t="s">
        <v>192</v>
      </c>
      <c r="E13" s="172">
        <v>43195</v>
      </c>
      <c r="AM13" s="214"/>
      <c r="AN13" s="52"/>
    </row>
    <row r="14" spans="2:40" s="211" customFormat="1" x14ac:dyDescent="0.15">
      <c r="B14" s="218" t="s">
        <v>15</v>
      </c>
      <c r="C14" s="168">
        <v>2.42</v>
      </c>
      <c r="D14" s="171" t="s">
        <v>208</v>
      </c>
      <c r="E14" s="172">
        <v>43209</v>
      </c>
      <c r="AM14" s="214"/>
      <c r="AN14" s="52"/>
    </row>
    <row r="15" spans="2:40" s="211" customFormat="1" ht="17" x14ac:dyDescent="0.15">
      <c r="B15" s="195" t="s">
        <v>43</v>
      </c>
      <c r="C15" s="168">
        <v>2.84</v>
      </c>
      <c r="D15" s="171" t="s">
        <v>208</v>
      </c>
      <c r="E15" s="172">
        <v>43230</v>
      </c>
      <c r="AM15" s="214"/>
      <c r="AN15" s="52"/>
    </row>
    <row r="16" spans="2:40" s="211" customFormat="1" x14ac:dyDescent="0.15">
      <c r="B16" s="218" t="s">
        <v>29</v>
      </c>
      <c r="C16" s="168">
        <v>2.91</v>
      </c>
      <c r="D16" s="171" t="s">
        <v>208</v>
      </c>
      <c r="E16" s="172">
        <v>43379</v>
      </c>
      <c r="AM16" s="214"/>
      <c r="AN16" s="52"/>
    </row>
    <row r="17" spans="2:40" s="211" customFormat="1" ht="17" x14ac:dyDescent="0.15">
      <c r="B17" s="218" t="s">
        <v>148</v>
      </c>
      <c r="C17" s="168">
        <v>3.15</v>
      </c>
      <c r="D17" s="171" t="s">
        <v>208</v>
      </c>
      <c r="E17" s="172">
        <v>43335</v>
      </c>
      <c r="AM17" s="214"/>
      <c r="AN17" s="52"/>
    </row>
    <row r="18" spans="2:40" s="217" customFormat="1" x14ac:dyDescent="0.15">
      <c r="B18" s="195" t="s">
        <v>41</v>
      </c>
      <c r="C18" s="219">
        <v>3.25</v>
      </c>
      <c r="D18" s="220" t="s">
        <v>219</v>
      </c>
      <c r="E18" s="172">
        <v>43377</v>
      </c>
      <c r="F18" s="211"/>
      <c r="G18" s="211"/>
      <c r="H18" s="211"/>
      <c r="I18" s="211"/>
      <c r="J18" s="211"/>
      <c r="K18" s="211"/>
      <c r="L18" s="211"/>
      <c r="M18" s="211"/>
      <c r="AM18" s="221"/>
      <c r="AN18" s="52"/>
    </row>
    <row r="19" spans="2:40" s="217" customFormat="1" x14ac:dyDescent="0.15">
      <c r="B19" s="197" t="s">
        <v>37</v>
      </c>
      <c r="C19" s="173">
        <v>3.3</v>
      </c>
      <c r="D19" s="174" t="s">
        <v>257</v>
      </c>
      <c r="E19" s="172">
        <v>43314</v>
      </c>
      <c r="F19" s="211"/>
      <c r="G19" s="211"/>
      <c r="H19" s="211"/>
      <c r="I19" s="211"/>
      <c r="J19" s="211"/>
      <c r="K19" s="211"/>
      <c r="L19" s="211"/>
      <c r="M19" s="211"/>
      <c r="AM19" s="221"/>
      <c r="AN19" s="52"/>
    </row>
    <row r="20" spans="2:40" s="217" customFormat="1" x14ac:dyDescent="0.15">
      <c r="B20" s="463" t="s">
        <v>47</v>
      </c>
      <c r="C20" s="173">
        <v>3.37</v>
      </c>
      <c r="D20" s="174" t="s">
        <v>208</v>
      </c>
      <c r="E20" s="172">
        <v>43293</v>
      </c>
      <c r="F20" s="211"/>
      <c r="G20" s="211"/>
      <c r="H20" s="211"/>
      <c r="I20" s="211"/>
      <c r="J20" s="211"/>
      <c r="K20" s="211"/>
      <c r="L20" s="211"/>
      <c r="M20" s="211"/>
      <c r="AM20" s="221"/>
      <c r="AN20" s="52"/>
    </row>
    <row r="21" spans="2:40" s="217" customFormat="1" x14ac:dyDescent="0.15">
      <c r="B21" s="222" t="s">
        <v>19</v>
      </c>
      <c r="C21" s="173">
        <v>3.49</v>
      </c>
      <c r="D21" s="421" t="s">
        <v>191</v>
      </c>
      <c r="E21" s="172">
        <v>43370</v>
      </c>
      <c r="F21" s="211"/>
      <c r="G21" s="211"/>
      <c r="H21" s="211"/>
      <c r="I21" s="211"/>
      <c r="J21" s="211"/>
      <c r="K21" s="211"/>
      <c r="L21" s="211"/>
      <c r="M21" s="211"/>
      <c r="AM21" s="221"/>
      <c r="AN21" s="52"/>
    </row>
    <row r="22" spans="2:40" s="211" customFormat="1" ht="17" x14ac:dyDescent="0.15">
      <c r="B22" s="222" t="s">
        <v>31</v>
      </c>
      <c r="C22" s="173">
        <v>3.52</v>
      </c>
      <c r="D22" s="174" t="s">
        <v>192</v>
      </c>
      <c r="E22" s="172">
        <v>43223</v>
      </c>
    </row>
    <row r="23" spans="2:40" s="211" customFormat="1" ht="17" x14ac:dyDescent="0.15">
      <c r="B23" s="339" t="s">
        <v>13</v>
      </c>
      <c r="C23" s="173">
        <v>3.82</v>
      </c>
      <c r="D23" s="174" t="s">
        <v>191</v>
      </c>
      <c r="E23" s="172">
        <v>43349</v>
      </c>
    </row>
    <row r="24" spans="2:40" s="211" customFormat="1" ht="17" x14ac:dyDescent="0.15">
      <c r="B24" s="197" t="s">
        <v>286</v>
      </c>
      <c r="C24" s="173">
        <v>4.2</v>
      </c>
      <c r="D24" s="174" t="s">
        <v>287</v>
      </c>
      <c r="E24" s="172">
        <v>43349</v>
      </c>
    </row>
    <row r="25" spans="2:40" s="211" customFormat="1" ht="17" x14ac:dyDescent="0.15">
      <c r="B25" s="197" t="s">
        <v>29</v>
      </c>
      <c r="C25" s="173">
        <v>4.5999999999999996</v>
      </c>
      <c r="D25" s="174" t="s">
        <v>192</v>
      </c>
      <c r="E25" s="172">
        <v>43286</v>
      </c>
      <c r="F25" s="217"/>
      <c r="G25" s="217"/>
      <c r="H25" s="217"/>
      <c r="I25" s="217"/>
      <c r="J25" s="217"/>
      <c r="K25" s="217"/>
      <c r="L25" s="217"/>
      <c r="M25" s="217"/>
    </row>
    <row r="26" spans="2:40" s="211" customFormat="1" x14ac:dyDescent="0.15">
      <c r="B26" s="197" t="s">
        <v>29</v>
      </c>
      <c r="C26" s="173">
        <v>4.6500000000000004</v>
      </c>
      <c r="D26" s="174" t="s">
        <v>236</v>
      </c>
      <c r="E26" s="172">
        <v>43253</v>
      </c>
    </row>
    <row r="27" spans="2:40" s="211" customFormat="1" x14ac:dyDescent="0.15">
      <c r="B27" s="197" t="s">
        <v>148</v>
      </c>
      <c r="C27" s="173">
        <v>4.95</v>
      </c>
      <c r="D27" s="174" t="s">
        <v>208</v>
      </c>
      <c r="E27" s="172">
        <v>43223</v>
      </c>
      <c r="F27" s="217"/>
      <c r="G27" s="217"/>
      <c r="H27" s="217"/>
      <c r="I27" s="217"/>
      <c r="J27" s="217"/>
      <c r="K27" s="217"/>
      <c r="L27" s="217"/>
      <c r="M27" s="217"/>
    </row>
    <row r="28" spans="2:40" s="211" customFormat="1" x14ac:dyDescent="0.15">
      <c r="B28" s="222" t="s">
        <v>148</v>
      </c>
      <c r="C28" s="173">
        <v>5.22</v>
      </c>
      <c r="D28" s="174" t="s">
        <v>259</v>
      </c>
      <c r="E28" s="172">
        <v>43363</v>
      </c>
    </row>
    <row r="29" spans="2:40" s="211" customFormat="1" x14ac:dyDescent="0.15">
      <c r="B29" s="197" t="s">
        <v>31</v>
      </c>
      <c r="C29" s="173">
        <v>5.28</v>
      </c>
      <c r="D29" s="174" t="s">
        <v>208</v>
      </c>
      <c r="E29" s="175">
        <v>43377</v>
      </c>
    </row>
    <row r="30" spans="2:40" s="211" customFormat="1" x14ac:dyDescent="0.15">
      <c r="B30" s="222" t="s">
        <v>9</v>
      </c>
      <c r="C30" s="173">
        <v>5.36</v>
      </c>
      <c r="D30" s="174" t="s">
        <v>208</v>
      </c>
      <c r="E30" s="175">
        <v>43272</v>
      </c>
    </row>
    <row r="31" spans="2:40" s="211" customFormat="1" ht="17" x14ac:dyDescent="0.15">
      <c r="B31" s="197" t="s">
        <v>41</v>
      </c>
      <c r="C31" s="173">
        <v>5.49</v>
      </c>
      <c r="D31" s="174" t="s">
        <v>219</v>
      </c>
      <c r="E31" s="175">
        <v>43379</v>
      </c>
    </row>
    <row r="32" spans="2:40" s="211" customFormat="1" ht="17" x14ac:dyDescent="0.15">
      <c r="B32" s="222" t="s">
        <v>43</v>
      </c>
      <c r="C32" s="173">
        <v>5.89</v>
      </c>
      <c r="D32" s="174" t="s">
        <v>259</v>
      </c>
      <c r="E32" s="175">
        <v>43314</v>
      </c>
    </row>
    <row r="33" spans="2:5" s="211" customFormat="1" x14ac:dyDescent="0.15">
      <c r="B33" s="222" t="s">
        <v>19</v>
      </c>
      <c r="C33" s="173">
        <v>6.03</v>
      </c>
      <c r="D33" s="174" t="s">
        <v>191</v>
      </c>
      <c r="E33" s="175">
        <v>43216</v>
      </c>
    </row>
    <row r="34" spans="2:5" s="211" customFormat="1" x14ac:dyDescent="0.15">
      <c r="B34" s="222" t="s">
        <v>148</v>
      </c>
      <c r="C34" s="173">
        <v>6.04</v>
      </c>
      <c r="D34" s="174" t="s">
        <v>192</v>
      </c>
      <c r="E34" s="175">
        <v>43258</v>
      </c>
    </row>
    <row r="35" spans="2:5" s="211" customFormat="1" x14ac:dyDescent="0.15">
      <c r="B35" s="198" t="s">
        <v>181</v>
      </c>
      <c r="C35" s="173">
        <v>6.1</v>
      </c>
      <c r="D35" s="174" t="s">
        <v>258</v>
      </c>
      <c r="E35" s="175">
        <v>43258</v>
      </c>
    </row>
    <row r="36" spans="2:5" s="211" customFormat="1" x14ac:dyDescent="0.15">
      <c r="B36" s="198" t="s">
        <v>41</v>
      </c>
      <c r="C36" s="173">
        <v>6.46</v>
      </c>
      <c r="D36" s="174" t="s">
        <v>237</v>
      </c>
      <c r="E36" s="175">
        <v>43253</v>
      </c>
    </row>
    <row r="37" spans="2:5" s="211" customFormat="1" x14ac:dyDescent="0.15">
      <c r="B37" s="339" t="s">
        <v>25</v>
      </c>
      <c r="C37" s="173">
        <v>7.04</v>
      </c>
      <c r="D37" s="174" t="s">
        <v>191</v>
      </c>
      <c r="E37" s="175">
        <v>43195</v>
      </c>
    </row>
    <row r="38" spans="2:5" s="211" customFormat="1" ht="17" x14ac:dyDescent="0.15">
      <c r="B38" s="222" t="s">
        <v>9</v>
      </c>
      <c r="C38" s="173">
        <v>7.35</v>
      </c>
      <c r="D38" s="174" t="s">
        <v>191</v>
      </c>
      <c r="E38" s="175">
        <v>43286</v>
      </c>
    </row>
    <row r="39" spans="2:5" s="211" customFormat="1" ht="17" x14ac:dyDescent="0.15">
      <c r="B39" s="339" t="s">
        <v>148</v>
      </c>
      <c r="C39" s="173">
        <v>7.44</v>
      </c>
      <c r="D39" s="174" t="s">
        <v>208</v>
      </c>
      <c r="E39" s="175">
        <v>43314</v>
      </c>
    </row>
    <row r="40" spans="2:5" s="211" customFormat="1" ht="17" x14ac:dyDescent="0.15">
      <c r="B40" s="339" t="s">
        <v>148</v>
      </c>
      <c r="C40" s="173">
        <v>7.69</v>
      </c>
      <c r="D40" s="174" t="s">
        <v>208</v>
      </c>
      <c r="E40" s="175">
        <v>43307</v>
      </c>
    </row>
    <row r="41" spans="2:5" s="211" customFormat="1" ht="17" x14ac:dyDescent="0.15">
      <c r="B41" s="222" t="s">
        <v>29</v>
      </c>
      <c r="C41" s="173">
        <v>7.73</v>
      </c>
      <c r="D41" s="421" t="s">
        <v>295</v>
      </c>
      <c r="E41" s="175">
        <v>43352</v>
      </c>
    </row>
    <row r="42" spans="2:5" s="211" customFormat="1" ht="17" x14ac:dyDescent="0.15">
      <c r="B42" s="429" t="s">
        <v>23</v>
      </c>
      <c r="C42" s="210">
        <v>7.87</v>
      </c>
      <c r="D42" s="174" t="s">
        <v>191</v>
      </c>
      <c r="E42" s="175">
        <v>43258</v>
      </c>
    </row>
    <row r="43" spans="2:5" s="211" customFormat="1" ht="17" x14ac:dyDescent="0.15">
      <c r="B43" s="194" t="s">
        <v>31</v>
      </c>
      <c r="C43" s="168">
        <v>8.08</v>
      </c>
      <c r="D43" s="174" t="s">
        <v>208</v>
      </c>
      <c r="E43" s="175">
        <v>43265</v>
      </c>
    </row>
    <row r="44" spans="2:5" s="211" customFormat="1" x14ac:dyDescent="0.15">
      <c r="B44" s="194" t="s">
        <v>33</v>
      </c>
      <c r="C44" s="168">
        <v>8.2100000000000009</v>
      </c>
      <c r="D44" s="174" t="s">
        <v>219</v>
      </c>
      <c r="E44" s="175">
        <v>43286</v>
      </c>
    </row>
    <row r="45" spans="2:5" s="211" customFormat="1" ht="17" x14ac:dyDescent="0.15">
      <c r="B45" s="194" t="s">
        <v>53</v>
      </c>
      <c r="C45" s="168">
        <v>8.75</v>
      </c>
      <c r="D45" s="174" t="s">
        <v>219</v>
      </c>
      <c r="E45" s="175">
        <v>43223</v>
      </c>
    </row>
    <row r="46" spans="2:5" s="211" customFormat="1" ht="17" x14ac:dyDescent="0.15">
      <c r="B46" s="194" t="s">
        <v>23</v>
      </c>
      <c r="C46" s="168">
        <v>9.6999999999999993</v>
      </c>
      <c r="D46" s="174" t="s">
        <v>259</v>
      </c>
      <c r="E46" s="175">
        <v>43379</v>
      </c>
    </row>
    <row r="47" spans="2:5" s="211" customFormat="1" x14ac:dyDescent="0.15">
      <c r="B47" s="194" t="s">
        <v>31</v>
      </c>
      <c r="C47" s="168">
        <v>10.59</v>
      </c>
      <c r="D47" s="171" t="s">
        <v>259</v>
      </c>
      <c r="E47" s="175">
        <v>43321</v>
      </c>
    </row>
    <row r="48" spans="2:5" s="211" customFormat="1" ht="17" x14ac:dyDescent="0.15">
      <c r="B48" s="194" t="s">
        <v>29</v>
      </c>
      <c r="C48" s="168">
        <v>10.8</v>
      </c>
      <c r="D48" s="171" t="s">
        <v>191</v>
      </c>
      <c r="E48" s="175">
        <v>43279</v>
      </c>
    </row>
    <row r="49" spans="2:5" s="211" customFormat="1" ht="17" x14ac:dyDescent="0.15">
      <c r="B49" s="218" t="s">
        <v>11</v>
      </c>
      <c r="C49" s="168">
        <v>11.57</v>
      </c>
      <c r="D49" s="171" t="s">
        <v>287</v>
      </c>
      <c r="E49" s="175">
        <v>43379</v>
      </c>
    </row>
    <row r="50" spans="2:5" s="211" customFormat="1" ht="17" x14ac:dyDescent="0.15">
      <c r="B50" s="218" t="s">
        <v>148</v>
      </c>
      <c r="C50" s="168">
        <v>12.12</v>
      </c>
      <c r="D50" s="171" t="s">
        <v>192</v>
      </c>
      <c r="E50" s="175">
        <v>43258</v>
      </c>
    </row>
    <row r="51" spans="2:5" s="211" customFormat="1" x14ac:dyDescent="0.15">
      <c r="B51" s="195" t="s">
        <v>35</v>
      </c>
      <c r="C51" s="168">
        <v>13.68</v>
      </c>
      <c r="D51" s="171" t="s">
        <v>208</v>
      </c>
      <c r="E51" s="172">
        <v>43251</v>
      </c>
    </row>
    <row r="52" spans="2:5" s="211" customFormat="1" ht="17" x14ac:dyDescent="0.15">
      <c r="B52" s="194" t="s">
        <v>53</v>
      </c>
      <c r="C52" s="168">
        <v>14.1</v>
      </c>
      <c r="D52" s="171" t="s">
        <v>208</v>
      </c>
      <c r="E52" s="172">
        <v>43349</v>
      </c>
    </row>
    <row r="53" spans="2:5" s="211" customFormat="1" x14ac:dyDescent="0.15">
      <c r="B53" s="218" t="s">
        <v>49</v>
      </c>
      <c r="C53" s="168">
        <v>18</v>
      </c>
      <c r="D53" s="171" t="s">
        <v>191</v>
      </c>
      <c r="E53" s="172">
        <v>43223</v>
      </c>
    </row>
    <row r="54" spans="2:5" s="211" customFormat="1" x14ac:dyDescent="0.15">
      <c r="B54" s="196" t="s">
        <v>53</v>
      </c>
      <c r="C54" s="168">
        <v>19.399999999999999</v>
      </c>
      <c r="D54" s="171" t="s">
        <v>258</v>
      </c>
      <c r="E54" s="172">
        <v>43379</v>
      </c>
    </row>
    <row r="55" spans="2:5" s="211" customFormat="1" ht="17" x14ac:dyDescent="0.15">
      <c r="B55" s="194" t="s">
        <v>23</v>
      </c>
      <c r="C55" s="168">
        <v>20.18</v>
      </c>
      <c r="D55" s="171" t="s">
        <v>208</v>
      </c>
      <c r="E55" s="172">
        <v>43202</v>
      </c>
    </row>
    <row r="56" spans="2:5" s="211" customFormat="1" x14ac:dyDescent="0.15">
      <c r="B56" s="194"/>
      <c r="C56" s="168"/>
      <c r="D56" s="171"/>
      <c r="E56" s="172"/>
    </row>
    <row r="57" spans="2:5" s="211" customFormat="1" x14ac:dyDescent="0.15">
      <c r="B57" s="218"/>
      <c r="C57" s="168"/>
      <c r="D57" s="171"/>
      <c r="E57" s="172"/>
    </row>
    <row r="58" spans="2:5" s="211" customFormat="1" x14ac:dyDescent="0.15">
      <c r="B58" s="218"/>
      <c r="C58" s="168"/>
      <c r="D58" s="171"/>
      <c r="E58" s="172"/>
    </row>
    <row r="59" spans="2:5" s="211" customFormat="1" x14ac:dyDescent="0.15">
      <c r="B59" s="195"/>
      <c r="C59" s="168"/>
      <c r="D59" s="171"/>
      <c r="E59" s="172"/>
    </row>
    <row r="60" spans="2:5" s="211" customFormat="1" x14ac:dyDescent="0.15">
      <c r="B60" s="194"/>
      <c r="C60" s="168"/>
      <c r="D60" s="171"/>
      <c r="E60" s="172"/>
    </row>
    <row r="61" spans="2:5" s="211" customFormat="1" x14ac:dyDescent="0.15">
      <c r="B61" s="194"/>
      <c r="C61" s="168"/>
      <c r="D61" s="171"/>
      <c r="E61" s="172"/>
    </row>
    <row r="62" spans="2:5" s="211" customFormat="1" x14ac:dyDescent="0.15">
      <c r="B62" s="218"/>
      <c r="C62" s="168"/>
      <c r="D62" s="171"/>
      <c r="E62" s="172"/>
    </row>
    <row r="63" spans="2:5" s="211" customFormat="1" x14ac:dyDescent="0.15">
      <c r="B63" s="195"/>
      <c r="C63" s="168"/>
      <c r="D63" s="171"/>
      <c r="E63" s="172"/>
    </row>
    <row r="64" spans="2:5" s="211" customFormat="1" x14ac:dyDescent="0.15">
      <c r="B64" s="341"/>
      <c r="C64" s="168"/>
      <c r="D64" s="171"/>
      <c r="E64" s="172"/>
    </row>
    <row r="65" spans="2:5" s="211" customFormat="1" x14ac:dyDescent="0.15">
      <c r="B65" s="218"/>
      <c r="C65" s="168"/>
      <c r="D65" s="171"/>
      <c r="E65" s="172"/>
    </row>
    <row r="66" spans="2:5" s="211" customFormat="1" x14ac:dyDescent="0.15">
      <c r="B66" s="218"/>
      <c r="C66" s="168"/>
      <c r="D66" s="171"/>
      <c r="E66" s="172"/>
    </row>
    <row r="67" spans="2:5" s="211" customFormat="1" x14ac:dyDescent="0.15">
      <c r="B67" s="195"/>
      <c r="C67" s="168"/>
      <c r="D67" s="171"/>
      <c r="E67" s="172"/>
    </row>
    <row r="68" spans="2:5" s="211" customFormat="1" x14ac:dyDescent="0.15">
      <c r="B68" s="218"/>
      <c r="C68" s="168"/>
      <c r="D68" s="171"/>
      <c r="E68" s="172"/>
    </row>
    <row r="69" spans="2:5" s="211" customFormat="1" x14ac:dyDescent="0.15">
      <c r="B69" s="218"/>
      <c r="C69" s="168"/>
      <c r="D69" s="223"/>
      <c r="E69" s="224"/>
    </row>
    <row r="70" spans="2:5" s="211" customFormat="1" x14ac:dyDescent="0.15">
      <c r="B70" s="225"/>
      <c r="C70" s="226"/>
      <c r="D70" s="227"/>
      <c r="E70" s="228"/>
    </row>
    <row r="71" spans="2:5" s="211" customFormat="1" x14ac:dyDescent="0.15">
      <c r="B71" s="225"/>
      <c r="C71" s="226"/>
      <c r="D71" s="227"/>
      <c r="E71" s="228"/>
    </row>
    <row r="72" spans="2:5" s="211" customFormat="1" x14ac:dyDescent="0.15">
      <c r="B72" s="225"/>
      <c r="C72" s="226"/>
      <c r="D72" s="227"/>
      <c r="E72" s="228"/>
    </row>
    <row r="73" spans="2:5" s="211" customFormat="1" x14ac:dyDescent="0.15">
      <c r="B73" s="225"/>
      <c r="C73" s="226"/>
      <c r="D73" s="227"/>
      <c r="E73" s="228"/>
    </row>
    <row r="74" spans="2:5" s="211" customFormat="1" x14ac:dyDescent="0.15">
      <c r="B74" s="225"/>
      <c r="C74" s="226"/>
      <c r="D74" s="227"/>
      <c r="E74" s="228"/>
    </row>
    <row r="75" spans="2:5" s="211" customFormat="1" x14ac:dyDescent="0.15">
      <c r="B75" s="225"/>
      <c r="C75" s="229"/>
      <c r="D75" s="227"/>
      <c r="E75" s="228"/>
    </row>
    <row r="76" spans="2:5" s="211" customFormat="1" x14ac:dyDescent="0.15">
      <c r="B76" s="225"/>
      <c r="C76" s="229"/>
      <c r="D76" s="227"/>
      <c r="E76" s="228"/>
    </row>
    <row r="77" spans="2:5" s="211" customFormat="1" x14ac:dyDescent="0.15">
      <c r="B77" s="225"/>
      <c r="C77" s="229"/>
      <c r="D77" s="227"/>
      <c r="E77" s="228"/>
    </row>
    <row r="78" spans="2:5" s="211" customFormat="1" x14ac:dyDescent="0.15">
      <c r="B78" s="225"/>
      <c r="C78" s="229"/>
      <c r="D78" s="227"/>
      <c r="E78" s="228"/>
    </row>
    <row r="79" spans="2:5" s="211" customFormat="1" x14ac:dyDescent="0.15">
      <c r="B79" s="225"/>
      <c r="C79" s="229"/>
      <c r="D79" s="227"/>
      <c r="E79" s="228"/>
    </row>
    <row r="80" spans="2:5" s="211" customFormat="1" x14ac:dyDescent="0.15">
      <c r="B80" s="225"/>
      <c r="C80" s="229"/>
      <c r="D80" s="227"/>
      <c r="E80" s="228"/>
    </row>
    <row r="81" spans="2:5" s="211" customFormat="1" x14ac:dyDescent="0.15">
      <c r="B81" s="225"/>
      <c r="C81" s="229"/>
      <c r="D81" s="227"/>
      <c r="E81" s="228"/>
    </row>
    <row r="82" spans="2:5" s="211" customFormat="1" x14ac:dyDescent="0.15">
      <c r="B82" s="225"/>
      <c r="C82" s="229"/>
      <c r="D82" s="227"/>
      <c r="E82" s="228"/>
    </row>
    <row r="83" spans="2:5" s="211" customFormat="1" x14ac:dyDescent="0.15">
      <c r="B83" s="225"/>
      <c r="C83" s="229"/>
      <c r="D83" s="227"/>
      <c r="E83" s="228"/>
    </row>
    <row r="84" spans="2:5" s="211" customFormat="1" x14ac:dyDescent="0.15">
      <c r="B84" s="225"/>
      <c r="C84" s="229"/>
      <c r="D84" s="227"/>
      <c r="E84" s="228"/>
    </row>
  </sheetData>
  <sheetProtection selectLockedCells="1" selectUnlockedCells="1"/>
  <autoFilter ref="B2:E3" xr:uid="{00000000-0009-0000-0000-000005000000}">
    <sortState ref="B3:E55">
      <sortCondition ref="C2:C55"/>
    </sortState>
  </autoFilter>
  <mergeCells count="2">
    <mergeCell ref="B1:E1"/>
    <mergeCell ref="G1:I1"/>
  </mergeCells>
  <printOptions horizontalCentered="1" verticalCentered="1"/>
  <pageMargins left="0.43333333333333335" right="0.43333333333333335" top="0.55138888888888893" bottom="0.55138888888888893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Q29"/>
  <sheetViews>
    <sheetView workbookViewId="0">
      <selection sqref="A1:N29"/>
    </sheetView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9.83203125" style="8" bestFit="1" customWidth="1"/>
    <col min="18" max="16384" width="9.1640625" style="8"/>
  </cols>
  <sheetData>
    <row r="1" spans="1:17" s="56" customFormat="1" ht="43.5" customHeight="1" x14ac:dyDescent="0.15">
      <c r="B1" s="440" t="s">
        <v>202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203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09" t="s">
        <v>97</v>
      </c>
      <c r="Q2" s="109" t="s">
        <v>98</v>
      </c>
    </row>
    <row r="3" spans="1:17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10">
        <v>27</v>
      </c>
      <c r="Q3" s="57" t="s">
        <v>76</v>
      </c>
    </row>
    <row r="4" spans="1:17" s="80" customFormat="1" ht="18" customHeight="1" x14ac:dyDescent="0.15">
      <c r="A4" s="362" t="s">
        <v>30</v>
      </c>
      <c r="B4" s="237">
        <v>11.3</v>
      </c>
      <c r="C4" s="72">
        <v>54</v>
      </c>
      <c r="D4" s="72">
        <v>34</v>
      </c>
      <c r="E4" s="73" t="s">
        <v>290</v>
      </c>
      <c r="F4" s="71">
        <v>1</v>
      </c>
      <c r="G4" s="71">
        <v>10</v>
      </c>
      <c r="H4" s="74">
        <f t="shared" ref="H4:H11" si="0">N4+I4</f>
        <v>3150000</v>
      </c>
      <c r="I4" s="75">
        <f t="shared" ref="I4:I11" si="1">IF(E4&gt;0,$N$13,0)+IF(C4&gt;0,50000,0)+IF(C12&lt;0,50000,0)</f>
        <v>650000</v>
      </c>
      <c r="J4" s="76" t="s">
        <v>86</v>
      </c>
      <c r="K4" s="77"/>
      <c r="L4" s="78"/>
      <c r="M4" s="79">
        <v>10</v>
      </c>
      <c r="N4" s="74">
        <f>N12*25%</f>
        <v>2500000</v>
      </c>
      <c r="P4" s="70">
        <v>40</v>
      </c>
      <c r="Q4" s="57">
        <f>ROUND(P4*18/P3,0)</f>
        <v>27</v>
      </c>
    </row>
    <row r="5" spans="1:17" s="80" customFormat="1" ht="18" customHeight="1" x14ac:dyDescent="0.15">
      <c r="A5" s="362" t="s">
        <v>38</v>
      </c>
      <c r="B5" s="237">
        <v>15.4</v>
      </c>
      <c r="C5" s="12">
        <v>49</v>
      </c>
      <c r="D5" s="72">
        <v>31</v>
      </c>
      <c r="E5" s="73"/>
      <c r="F5" s="71">
        <v>2</v>
      </c>
      <c r="G5" s="71">
        <v>8</v>
      </c>
      <c r="H5" s="74">
        <f t="shared" si="0"/>
        <v>2050000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2000000</v>
      </c>
      <c r="P5" s="70">
        <v>41</v>
      </c>
      <c r="Q5" s="57">
        <f>ROUND(P5*18/P3,0)</f>
        <v>27</v>
      </c>
    </row>
    <row r="6" spans="1:17" s="80" customFormat="1" ht="18" customHeight="1" x14ac:dyDescent="0.15">
      <c r="A6" s="362" t="s">
        <v>22</v>
      </c>
      <c r="B6" s="237">
        <v>13.8</v>
      </c>
      <c r="C6" s="71">
        <v>48</v>
      </c>
      <c r="D6" s="72">
        <v>39</v>
      </c>
      <c r="E6" s="87">
        <v>9.6999999999999993</v>
      </c>
      <c r="F6" s="12">
        <v>3</v>
      </c>
      <c r="G6" s="12">
        <v>6</v>
      </c>
      <c r="H6" s="74">
        <v>2750000</v>
      </c>
      <c r="I6" s="75">
        <f t="shared" si="1"/>
        <v>650000</v>
      </c>
      <c r="J6" s="81" t="s">
        <v>88</v>
      </c>
      <c r="K6" s="82"/>
      <c r="L6" s="83"/>
      <c r="M6" s="84">
        <v>6</v>
      </c>
      <c r="N6" s="74">
        <f>N12*15%</f>
        <v>1500000</v>
      </c>
      <c r="P6" s="70">
        <v>42</v>
      </c>
      <c r="Q6" s="57">
        <f>ROUND(P6*18/P3,0)</f>
        <v>28</v>
      </c>
    </row>
    <row r="7" spans="1:17" s="80" customFormat="1" ht="18" customHeight="1" x14ac:dyDescent="0.15">
      <c r="A7" s="362" t="s">
        <v>18</v>
      </c>
      <c r="B7" s="237">
        <v>14</v>
      </c>
      <c r="C7" s="71">
        <v>46</v>
      </c>
      <c r="D7" s="72">
        <v>33</v>
      </c>
      <c r="E7" s="87"/>
      <c r="F7" s="71">
        <v>4</v>
      </c>
      <c r="G7" s="71">
        <v>5</v>
      </c>
      <c r="H7" s="74">
        <f t="shared" si="0"/>
        <v>1250000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1200000</v>
      </c>
      <c r="O7" s="85"/>
      <c r="P7" s="70">
        <v>43</v>
      </c>
      <c r="Q7" s="57">
        <f>ROUND(P7*18/P3,0)</f>
        <v>29</v>
      </c>
    </row>
    <row r="8" spans="1:17" s="80" customFormat="1" ht="18" customHeight="1" x14ac:dyDescent="0.15">
      <c r="A8" s="362" t="s">
        <v>40</v>
      </c>
      <c r="B8" s="237">
        <v>22.9</v>
      </c>
      <c r="C8" s="91">
        <v>46</v>
      </c>
      <c r="D8" s="72">
        <v>38</v>
      </c>
      <c r="E8" s="73">
        <v>5.49</v>
      </c>
      <c r="F8" s="71">
        <v>5</v>
      </c>
      <c r="G8" s="71">
        <v>4</v>
      </c>
      <c r="H8" s="74">
        <f t="shared" si="0"/>
        <v>1650000</v>
      </c>
      <c r="I8" s="75">
        <f t="shared" si="1"/>
        <v>650000</v>
      </c>
      <c r="J8" s="81" t="s">
        <v>90</v>
      </c>
      <c r="K8" s="82"/>
      <c r="L8" s="83"/>
      <c r="M8" s="84">
        <v>4</v>
      </c>
      <c r="N8" s="74">
        <f>N12*10%</f>
        <v>1000000</v>
      </c>
      <c r="P8" s="70">
        <v>44</v>
      </c>
      <c r="Q8" s="57">
        <f>ROUND(P8*18/P3,0)</f>
        <v>29</v>
      </c>
    </row>
    <row r="9" spans="1:17" s="80" customFormat="1" ht="18" customHeight="1" x14ac:dyDescent="0.15">
      <c r="A9" s="362" t="s">
        <v>36</v>
      </c>
      <c r="B9" s="237">
        <v>18.399999999999999</v>
      </c>
      <c r="C9" s="71">
        <v>44</v>
      </c>
      <c r="D9" s="72">
        <v>36</v>
      </c>
      <c r="E9" s="73"/>
      <c r="F9" s="88">
        <v>6</v>
      </c>
      <c r="G9" s="88">
        <v>3</v>
      </c>
      <c r="H9" s="74">
        <f t="shared" si="0"/>
        <v>850000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800000</v>
      </c>
      <c r="P9" s="70">
        <v>45</v>
      </c>
      <c r="Q9" s="57">
        <f>ROUND(P9*18/P3,0)</f>
        <v>30</v>
      </c>
    </row>
    <row r="10" spans="1:17" s="80" customFormat="1" ht="18" customHeight="1" x14ac:dyDescent="0.15">
      <c r="A10" s="362" t="s">
        <v>46</v>
      </c>
      <c r="B10" s="237">
        <v>23.1</v>
      </c>
      <c r="C10" s="72">
        <v>44</v>
      </c>
      <c r="D10" s="72">
        <v>39</v>
      </c>
      <c r="E10" s="73"/>
      <c r="F10" s="71">
        <v>7</v>
      </c>
      <c r="G10" s="71">
        <v>2</v>
      </c>
      <c r="H10" s="74">
        <f t="shared" si="0"/>
        <v>650000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600000</v>
      </c>
      <c r="P10" s="70">
        <v>46</v>
      </c>
      <c r="Q10" s="57">
        <f>ROUND(P10*18/P3,0)</f>
        <v>31</v>
      </c>
    </row>
    <row r="11" spans="1:17" s="80" customFormat="1" ht="18" customHeight="1" x14ac:dyDescent="0.15">
      <c r="A11" s="362" t="s">
        <v>34</v>
      </c>
      <c r="B11" s="237">
        <v>12.9</v>
      </c>
      <c r="C11" s="71">
        <v>43</v>
      </c>
      <c r="D11" s="72">
        <v>35</v>
      </c>
      <c r="E11" s="73"/>
      <c r="F11" s="71">
        <v>8</v>
      </c>
      <c r="G11" s="71">
        <v>1</v>
      </c>
      <c r="H11" s="74">
        <f t="shared" si="0"/>
        <v>450000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400000</v>
      </c>
      <c r="P11" s="70">
        <v>47</v>
      </c>
      <c r="Q11" s="57">
        <f>ROUND(P11*18/P3,0)</f>
        <v>31</v>
      </c>
    </row>
    <row r="12" spans="1:17" s="80" customFormat="1" ht="18" customHeight="1" x14ac:dyDescent="0.15">
      <c r="A12" s="362" t="s">
        <v>28</v>
      </c>
      <c r="B12" s="237">
        <v>11</v>
      </c>
      <c r="C12" s="71">
        <v>42</v>
      </c>
      <c r="D12" s="72">
        <v>32</v>
      </c>
      <c r="E12" s="73">
        <v>2.91</v>
      </c>
      <c r="F12" s="71"/>
      <c r="G12" s="71"/>
      <c r="H12" s="74">
        <f t="shared" ref="H12:H28" si="2">I12</f>
        <v>650000</v>
      </c>
      <c r="I12" s="75">
        <f t="shared" ref="I12:I28" si="3">IF(E12&gt;0,$N$13,0)+IF(C12&gt;0,50000,0)+IF(C12&lt;0,50000,0)</f>
        <v>650000</v>
      </c>
      <c r="J12" s="89" t="s">
        <v>94</v>
      </c>
      <c r="K12" s="82"/>
      <c r="L12" s="83"/>
      <c r="M12" s="84"/>
      <c r="N12" s="90">
        <v>10000000</v>
      </c>
      <c r="P12" s="70">
        <v>48</v>
      </c>
      <c r="Q12" s="57">
        <f>ROUND(P12*18/P3,0)</f>
        <v>32</v>
      </c>
    </row>
    <row r="13" spans="1:17" s="80" customFormat="1" ht="18" customHeight="1" x14ac:dyDescent="0.15">
      <c r="A13" s="362" t="s">
        <v>52</v>
      </c>
      <c r="B13" s="237">
        <v>12.2</v>
      </c>
      <c r="C13" s="72">
        <v>40</v>
      </c>
      <c r="D13" s="72">
        <v>31</v>
      </c>
      <c r="E13" s="87">
        <v>19.399999999999999</v>
      </c>
      <c r="F13" s="71"/>
      <c r="G13" s="71"/>
      <c r="H13" s="74">
        <f t="shared" si="2"/>
        <v>650000</v>
      </c>
      <c r="I13" s="75">
        <f t="shared" si="3"/>
        <v>650000</v>
      </c>
      <c r="J13" s="92" t="s">
        <v>95</v>
      </c>
      <c r="K13" s="93"/>
      <c r="L13" s="94"/>
      <c r="M13" s="95">
        <v>1</v>
      </c>
      <c r="N13" s="96">
        <f>N10</f>
        <v>600000</v>
      </c>
      <c r="P13" s="70">
        <v>49</v>
      </c>
      <c r="Q13" s="57">
        <f>ROUND(P13*18/P3,0)</f>
        <v>33</v>
      </c>
    </row>
    <row r="14" spans="1:17" s="80" customFormat="1" ht="18" customHeight="1" x14ac:dyDescent="0.15">
      <c r="A14" s="362" t="s">
        <v>10</v>
      </c>
      <c r="B14" s="237">
        <v>14.4</v>
      </c>
      <c r="C14" s="72">
        <v>37</v>
      </c>
      <c r="D14" s="72">
        <v>39</v>
      </c>
      <c r="E14" s="73">
        <v>11.57</v>
      </c>
      <c r="F14" s="71"/>
      <c r="G14" s="71"/>
      <c r="H14" s="74">
        <f t="shared" si="2"/>
        <v>650000</v>
      </c>
      <c r="I14" s="75">
        <f t="shared" si="3"/>
        <v>650000</v>
      </c>
      <c r="J14" s="97"/>
      <c r="K14" s="93"/>
      <c r="L14" s="93"/>
      <c r="M14" s="98"/>
      <c r="N14" s="99"/>
      <c r="P14" s="70">
        <v>50</v>
      </c>
      <c r="Q14" s="57">
        <f>ROUND(P14*18/P3,0)</f>
        <v>33</v>
      </c>
    </row>
    <row r="15" spans="1:17" s="80" customFormat="1" ht="18" customHeight="1" x14ac:dyDescent="0.15">
      <c r="A15" s="362" t="s">
        <v>16</v>
      </c>
      <c r="B15" s="237">
        <v>19.8</v>
      </c>
      <c r="C15" s="71">
        <v>32</v>
      </c>
      <c r="D15" s="72">
        <v>39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  <c r="P15" s="70">
        <v>51</v>
      </c>
      <c r="Q15" s="57">
        <f>ROUND(P15*18/P3,0)</f>
        <v>34</v>
      </c>
    </row>
    <row r="16" spans="1:17" s="80" customFormat="1" ht="18" customHeight="1" x14ac:dyDescent="0.15">
      <c r="A16" s="362" t="s">
        <v>14</v>
      </c>
      <c r="B16" s="237">
        <v>12.8</v>
      </c>
      <c r="C16" s="71">
        <v>0</v>
      </c>
      <c r="D16" s="72" t="s">
        <v>99</v>
      </c>
      <c r="E16" s="73"/>
      <c r="F16" s="12"/>
      <c r="G16" s="12"/>
      <c r="H16" s="74">
        <v>50000</v>
      </c>
      <c r="I16" s="75">
        <f t="shared" si="3"/>
        <v>0</v>
      </c>
      <c r="P16" s="70">
        <v>52</v>
      </c>
      <c r="Q16" s="57">
        <f>ROUND(P16*18/P3,0)</f>
        <v>35</v>
      </c>
    </row>
    <row r="17" spans="1:17" s="80" customFormat="1" ht="18" customHeight="1" x14ac:dyDescent="0.15">
      <c r="A17" s="362"/>
      <c r="B17" s="237"/>
      <c r="C17" s="72"/>
      <c r="D17" s="72"/>
      <c r="E17" s="87"/>
      <c r="F17" s="12"/>
      <c r="G17" s="12"/>
      <c r="H17" s="74">
        <f t="shared" si="2"/>
        <v>0</v>
      </c>
      <c r="I17" s="75">
        <f t="shared" si="3"/>
        <v>0</v>
      </c>
      <c r="O17" s="85"/>
      <c r="P17" s="70">
        <v>53</v>
      </c>
      <c r="Q17" s="57">
        <f>ROUND(P17*18/P3,0)</f>
        <v>35</v>
      </c>
    </row>
    <row r="18" spans="1:17" s="80" customFormat="1" ht="18" customHeight="1" x14ac:dyDescent="0.15">
      <c r="A18" s="362"/>
      <c r="B18" s="237"/>
      <c r="C18" s="72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"/>
      <c r="K18" s="8"/>
      <c r="L18" s="8"/>
      <c r="M18" s="8"/>
      <c r="N18" s="8"/>
      <c r="O18" s="86"/>
      <c r="P18" s="70">
        <v>54</v>
      </c>
      <c r="Q18" s="57">
        <f>ROUND(P18*18/P3,0)</f>
        <v>36</v>
      </c>
    </row>
    <row r="19" spans="1:17" s="80" customFormat="1" ht="18" customHeight="1" x14ac:dyDescent="0.15">
      <c r="A19" s="362"/>
      <c r="B19" s="237"/>
      <c r="C19" s="72"/>
      <c r="D19" s="72"/>
      <c r="E19" s="87"/>
      <c r="F19" s="71"/>
      <c r="G19" s="71"/>
      <c r="H19" s="74">
        <f t="shared" si="2"/>
        <v>0</v>
      </c>
      <c r="I19" s="75">
        <f t="shared" si="3"/>
        <v>0</v>
      </c>
      <c r="J19" s="8"/>
      <c r="K19" s="8"/>
      <c r="L19" s="8"/>
      <c r="M19" s="8"/>
      <c r="N19" s="8"/>
      <c r="O19" s="86"/>
      <c r="P19" s="70">
        <v>55</v>
      </c>
      <c r="Q19" s="57">
        <f>ROUND(P19*18/P3,0)</f>
        <v>37</v>
      </c>
    </row>
    <row r="20" spans="1:17" s="56" customFormat="1" ht="18" customHeight="1" x14ac:dyDescent="0.15">
      <c r="A20" s="362"/>
      <c r="B20" s="237"/>
      <c r="C20" s="72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  <c r="J20" s="8"/>
      <c r="K20" s="8"/>
      <c r="L20" s="8"/>
      <c r="M20" s="8"/>
      <c r="N20" s="8"/>
      <c r="P20" s="70">
        <v>56</v>
      </c>
      <c r="Q20" s="57">
        <f>ROUND(P20*18/P3,0)</f>
        <v>37</v>
      </c>
    </row>
    <row r="21" spans="1:17" s="56" customFormat="1" ht="18" customHeight="1" x14ac:dyDescent="0.15">
      <c r="A21" s="362"/>
      <c r="B21" s="237"/>
      <c r="C21" s="72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8"/>
      <c r="K21" s="8"/>
      <c r="L21" s="8"/>
      <c r="M21" s="8"/>
      <c r="N21" s="8"/>
      <c r="P21" s="70">
        <v>57</v>
      </c>
      <c r="Q21" s="57">
        <f>ROUND(P21*18/P3,0)</f>
        <v>38</v>
      </c>
    </row>
    <row r="22" spans="1:17" s="56" customFormat="1" ht="18" customHeight="1" x14ac:dyDescent="0.15">
      <c r="A22" s="362"/>
      <c r="B22" s="237"/>
      <c r="C22" s="72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  <c r="J22" s="8"/>
      <c r="K22" s="8"/>
      <c r="L22" s="8"/>
      <c r="M22" s="8"/>
      <c r="N22" s="8"/>
      <c r="P22" s="70">
        <v>58</v>
      </c>
      <c r="Q22" s="57">
        <f>ROUND(P22*18/P3,0)</f>
        <v>39</v>
      </c>
    </row>
    <row r="23" spans="1:17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8"/>
      <c r="K23" s="8"/>
      <c r="L23" s="8"/>
      <c r="M23" s="8"/>
      <c r="N23" s="8"/>
      <c r="P23" s="70">
        <v>59</v>
      </c>
      <c r="Q23" s="57">
        <f>ROUND(P23*18/P3,0)</f>
        <v>39</v>
      </c>
    </row>
    <row r="24" spans="1:17" s="56" customFormat="1" ht="18" customHeight="1" x14ac:dyDescent="0.15">
      <c r="A24" s="362"/>
      <c r="B24" s="237"/>
      <c r="C24" s="71"/>
      <c r="D24" s="351" t="s">
        <v>96</v>
      </c>
      <c r="E24" s="73"/>
      <c r="F24" s="12"/>
      <c r="G24" s="12"/>
      <c r="H24" s="74">
        <f t="shared" si="2"/>
        <v>0</v>
      </c>
      <c r="I24" s="75">
        <f t="shared" si="3"/>
        <v>0</v>
      </c>
      <c r="J24" s="8"/>
      <c r="K24" s="8"/>
      <c r="L24" s="8"/>
      <c r="M24" s="8"/>
      <c r="N24" s="8"/>
      <c r="P24" s="70">
        <v>60</v>
      </c>
      <c r="Q24" s="57">
        <f>ROUND(P24*18/P3,0)</f>
        <v>40</v>
      </c>
    </row>
    <row r="25" spans="1:17" s="56" customFormat="1" ht="18" customHeight="1" x14ac:dyDescent="0.15">
      <c r="A25" s="362"/>
      <c r="B25" s="237"/>
      <c r="C25" s="71"/>
      <c r="D25" s="72"/>
      <c r="E25" s="87"/>
      <c r="F25" s="12"/>
      <c r="G25" s="12"/>
      <c r="H25" s="74">
        <f t="shared" si="2"/>
        <v>0</v>
      </c>
      <c r="I25" s="75">
        <f t="shared" si="3"/>
        <v>0</v>
      </c>
      <c r="J25" s="8"/>
      <c r="K25" s="8"/>
      <c r="L25" s="8"/>
      <c r="M25" s="8"/>
      <c r="N25" s="8"/>
      <c r="P25" s="70">
        <v>61</v>
      </c>
      <c r="Q25" s="57">
        <f>ROUND(P25*18/P3,0)</f>
        <v>41</v>
      </c>
    </row>
    <row r="26" spans="1:17" s="56" customFormat="1" ht="18" customHeight="1" x14ac:dyDescent="0.15">
      <c r="A26" s="362"/>
      <c r="B26" s="237"/>
      <c r="C26" s="72"/>
      <c r="D26" s="72"/>
      <c r="E26" s="73"/>
      <c r="F26" s="71"/>
      <c r="G26" s="71"/>
      <c r="H26" s="74">
        <f t="shared" si="2"/>
        <v>0</v>
      </c>
      <c r="I26" s="75">
        <f t="shared" si="3"/>
        <v>0</v>
      </c>
      <c r="J26" s="8"/>
      <c r="K26" s="8"/>
      <c r="L26" s="8"/>
      <c r="M26" s="8"/>
      <c r="N26" s="8"/>
      <c r="P26" s="70">
        <v>62</v>
      </c>
      <c r="Q26" s="57">
        <f>ROUND(P26*18/P3,0)</f>
        <v>41</v>
      </c>
    </row>
    <row r="27" spans="1:17" s="56" customFormat="1" ht="18" customHeight="1" x14ac:dyDescent="0.15">
      <c r="A27" s="362"/>
      <c r="B27" s="237"/>
      <c r="C27" s="72"/>
      <c r="D27" s="72"/>
      <c r="E27" s="73"/>
      <c r="F27" s="71"/>
      <c r="G27" s="71"/>
      <c r="H27" s="74">
        <f>I27</f>
        <v>0</v>
      </c>
      <c r="I27" s="75">
        <f>IF(E27&gt;0,$N$13,0)+IF(C27&gt;0,50000,0)+IF(C27&lt;0,50000,0)</f>
        <v>0</v>
      </c>
      <c r="J27" s="8"/>
      <c r="K27" s="8"/>
      <c r="L27" s="8"/>
      <c r="M27" s="8"/>
      <c r="N27" s="8"/>
      <c r="P27" s="70"/>
      <c r="Q27" s="57"/>
    </row>
    <row r="28" spans="1:17" s="56" customFormat="1" ht="18" customHeight="1" x14ac:dyDescent="0.15">
      <c r="A28" s="362"/>
      <c r="B28" s="237"/>
      <c r="C28" s="71"/>
      <c r="D28" s="104"/>
      <c r="E28" s="87"/>
      <c r="F28" s="71"/>
      <c r="G28" s="71"/>
      <c r="H28" s="74">
        <f t="shared" si="2"/>
        <v>0</v>
      </c>
      <c r="I28" s="75">
        <f t="shared" si="3"/>
        <v>0</v>
      </c>
      <c r="J28" s="8"/>
      <c r="K28" s="8"/>
      <c r="L28" s="8"/>
      <c r="M28" s="8"/>
      <c r="N28" s="8"/>
    </row>
    <row r="29" spans="1:17" ht="24" customHeight="1" thickBot="1" x14ac:dyDescent="0.2">
      <c r="A29" s="1"/>
      <c r="B29" s="3"/>
      <c r="C29" s="105"/>
      <c r="D29" s="106">
        <f>SUM(D4:D28)</f>
        <v>426</v>
      </c>
      <c r="E29" s="105"/>
      <c r="F29" s="3"/>
      <c r="G29" s="107">
        <f>SUM(G4:G28)</f>
        <v>39</v>
      </c>
      <c r="H29" s="107">
        <f>SUM(H4:H28)</f>
        <v>14850000</v>
      </c>
      <c r="I29" s="108"/>
    </row>
  </sheetData>
  <sheetProtection selectLockedCells="1" selectUnlockedCells="1"/>
  <sortState ref="A4:C16">
    <sortCondition descending="1" ref="C4:C16"/>
    <sortCondition ref="B4:B16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79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pageSetUpPr fitToPage="1"/>
  </sheetPr>
  <dimension ref="A1:Q29"/>
  <sheetViews>
    <sheetView workbookViewId="0">
      <selection sqref="A1:N29"/>
    </sheetView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" width="9.1640625" style="8"/>
    <col min="17" max="17" width="10.1640625" style="8" customWidth="1"/>
    <col min="18" max="16384" width="9.1640625" style="8"/>
  </cols>
  <sheetData>
    <row r="1" spans="1:17" s="56" customFormat="1" ht="43.5" customHeight="1" x14ac:dyDescent="0.15">
      <c r="B1" s="440" t="s">
        <v>213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305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09" t="s">
        <v>97</v>
      </c>
      <c r="Q2" s="109" t="s">
        <v>98</v>
      </c>
    </row>
    <row r="3" spans="1:17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10">
        <v>13</v>
      </c>
      <c r="Q3" s="57" t="s">
        <v>76</v>
      </c>
    </row>
    <row r="4" spans="1:17" s="80" customFormat="1" ht="18" customHeight="1" x14ac:dyDescent="0.15">
      <c r="A4" s="362" t="s">
        <v>40</v>
      </c>
      <c r="B4" s="237">
        <v>22.9</v>
      </c>
      <c r="C4" s="12">
        <v>27</v>
      </c>
      <c r="D4" s="72">
        <v>35</v>
      </c>
      <c r="E4" s="73">
        <v>3.25</v>
      </c>
      <c r="F4" s="71">
        <v>1</v>
      </c>
      <c r="G4" s="71">
        <v>10</v>
      </c>
      <c r="H4" s="74">
        <f t="shared" ref="H4:H11" si="0">N4+I4</f>
        <v>2840000</v>
      </c>
      <c r="I4" s="75">
        <f t="shared" ref="I4:I11" si="1">IF(E4&gt;0,$N$13,0)+IF(C4&gt;0,50000,0)+IF(C12&lt;0,50000,0)</f>
        <v>590000</v>
      </c>
      <c r="J4" s="76" t="s">
        <v>86</v>
      </c>
      <c r="K4" s="77"/>
      <c r="L4" s="78"/>
      <c r="M4" s="79">
        <v>10</v>
      </c>
      <c r="N4" s="74">
        <f>N12*25%</f>
        <v>2250000</v>
      </c>
      <c r="P4" s="70">
        <v>12</v>
      </c>
      <c r="Q4" s="57">
        <f>ROUND(P4*18/P3,0)</f>
        <v>17</v>
      </c>
    </row>
    <row r="5" spans="1:17" s="80" customFormat="1" ht="18" customHeight="1" x14ac:dyDescent="0.15">
      <c r="A5" s="362" t="s">
        <v>30</v>
      </c>
      <c r="B5" s="237">
        <v>11.3</v>
      </c>
      <c r="C5" s="72">
        <v>25</v>
      </c>
      <c r="D5" s="72">
        <v>28</v>
      </c>
      <c r="E5" s="73">
        <v>5.28</v>
      </c>
      <c r="F5" s="71">
        <v>2</v>
      </c>
      <c r="G5" s="71">
        <v>8</v>
      </c>
      <c r="H5" s="74">
        <v>1950000</v>
      </c>
      <c r="I5" s="75">
        <f t="shared" si="1"/>
        <v>590000</v>
      </c>
      <c r="J5" s="81" t="s">
        <v>87</v>
      </c>
      <c r="K5" s="82"/>
      <c r="L5" s="83"/>
      <c r="M5" s="84">
        <v>8</v>
      </c>
      <c r="N5" s="74">
        <f>N12*20%</f>
        <v>1800000</v>
      </c>
      <c r="P5" s="70">
        <v>13</v>
      </c>
      <c r="Q5" s="57">
        <f>ROUND(P5*18/P3,0)</f>
        <v>18</v>
      </c>
    </row>
    <row r="6" spans="1:17" s="80" customFormat="1" ht="18" customHeight="1" x14ac:dyDescent="0.15">
      <c r="A6" s="362" t="s">
        <v>28</v>
      </c>
      <c r="B6" s="237">
        <v>11</v>
      </c>
      <c r="C6" s="71">
        <v>23</v>
      </c>
      <c r="D6" s="72">
        <v>29</v>
      </c>
      <c r="E6" s="73"/>
      <c r="F6" s="12">
        <v>3</v>
      </c>
      <c r="G6" s="12">
        <v>6</v>
      </c>
      <c r="H6" s="74">
        <f t="shared" si="0"/>
        <v>1400000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1350000</v>
      </c>
      <c r="P6" s="70">
        <v>14</v>
      </c>
      <c r="Q6" s="57">
        <f>ROUND(P6*18/P3,0)</f>
        <v>19</v>
      </c>
    </row>
    <row r="7" spans="1:17" s="80" customFormat="1" ht="18" customHeight="1" x14ac:dyDescent="0.15">
      <c r="A7" s="362" t="s">
        <v>18</v>
      </c>
      <c r="B7" s="237">
        <v>14</v>
      </c>
      <c r="C7" s="71">
        <v>22</v>
      </c>
      <c r="D7" s="91">
        <v>28</v>
      </c>
      <c r="E7" s="87"/>
      <c r="F7" s="71">
        <v>4</v>
      </c>
      <c r="G7" s="71">
        <v>5</v>
      </c>
      <c r="H7" s="74">
        <f t="shared" si="0"/>
        <v>1130000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1080000</v>
      </c>
      <c r="O7" s="85"/>
      <c r="P7" s="70">
        <v>15</v>
      </c>
      <c r="Q7" s="57">
        <f>ROUND(P7*18/P3,0)</f>
        <v>21</v>
      </c>
    </row>
    <row r="8" spans="1:17" s="80" customFormat="1" ht="18" customHeight="1" x14ac:dyDescent="0.15">
      <c r="A8" s="362" t="s">
        <v>8</v>
      </c>
      <c r="B8" s="237">
        <v>21.6</v>
      </c>
      <c r="C8" s="72">
        <v>22</v>
      </c>
      <c r="D8" s="72">
        <v>40</v>
      </c>
      <c r="E8" s="73"/>
      <c r="F8" s="71">
        <v>5</v>
      </c>
      <c r="G8" s="71">
        <v>4</v>
      </c>
      <c r="H8" s="74">
        <v>1050000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900000</v>
      </c>
      <c r="P8" s="70">
        <v>16</v>
      </c>
      <c r="Q8" s="57">
        <f>ROUND(P8*18/P3,0)</f>
        <v>22</v>
      </c>
    </row>
    <row r="9" spans="1:17" s="80" customFormat="1" ht="18" customHeight="1" x14ac:dyDescent="0.15">
      <c r="A9" s="362" t="s">
        <v>22</v>
      </c>
      <c r="B9" s="237">
        <v>13.8</v>
      </c>
      <c r="C9" s="72">
        <v>21</v>
      </c>
      <c r="D9" s="91">
        <v>32</v>
      </c>
      <c r="E9" s="87"/>
      <c r="F9" s="88">
        <v>6</v>
      </c>
      <c r="G9" s="88">
        <v>3</v>
      </c>
      <c r="H9" s="74">
        <f t="shared" si="0"/>
        <v>770000</v>
      </c>
      <c r="I9" s="75">
        <f t="shared" si="1"/>
        <v>50000</v>
      </c>
      <c r="J9" s="81" t="s">
        <v>91</v>
      </c>
      <c r="K9" s="82"/>
      <c r="L9" s="83"/>
      <c r="M9" s="84">
        <v>3</v>
      </c>
      <c r="N9" s="74">
        <f>N12*8%</f>
        <v>720000</v>
      </c>
      <c r="P9" s="70">
        <v>17</v>
      </c>
      <c r="Q9" s="57">
        <f>ROUND(P9*18/P3,0)</f>
        <v>24</v>
      </c>
    </row>
    <row r="10" spans="1:17" s="80" customFormat="1" ht="18" customHeight="1" x14ac:dyDescent="0.15">
      <c r="A10" s="362" t="s">
        <v>36</v>
      </c>
      <c r="B10" s="237">
        <v>18.399999999999999</v>
      </c>
      <c r="C10" s="71">
        <v>21</v>
      </c>
      <c r="D10" s="72">
        <v>32</v>
      </c>
      <c r="E10" s="73"/>
      <c r="F10" s="71">
        <v>7</v>
      </c>
      <c r="G10" s="71">
        <v>2</v>
      </c>
      <c r="H10" s="74">
        <f t="shared" si="0"/>
        <v>590000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540000</v>
      </c>
      <c r="P10" s="70">
        <v>18</v>
      </c>
      <c r="Q10" s="57">
        <f>ROUND(P10*18/P3,0)</f>
        <v>25</v>
      </c>
    </row>
    <row r="11" spans="1:17" s="80" customFormat="1" ht="18" customHeight="1" x14ac:dyDescent="0.15">
      <c r="A11" s="362" t="s">
        <v>34</v>
      </c>
      <c r="B11" s="237">
        <v>12.9</v>
      </c>
      <c r="C11" s="71">
        <v>20</v>
      </c>
      <c r="D11" s="72">
        <v>37</v>
      </c>
      <c r="E11" s="73"/>
      <c r="F11" s="71">
        <v>8</v>
      </c>
      <c r="G11" s="71">
        <v>1</v>
      </c>
      <c r="H11" s="74">
        <f t="shared" si="0"/>
        <v>410000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360000</v>
      </c>
      <c r="P11" s="70">
        <v>19</v>
      </c>
      <c r="Q11" s="57">
        <f>ROUND(P11*18/P3,0)</f>
        <v>26</v>
      </c>
    </row>
    <row r="12" spans="1:17" s="80" customFormat="1" ht="18" customHeight="1" x14ac:dyDescent="0.15">
      <c r="A12" s="362" t="s">
        <v>42</v>
      </c>
      <c r="B12" s="237">
        <v>15.1</v>
      </c>
      <c r="C12" s="71">
        <v>19</v>
      </c>
      <c r="D12" s="72">
        <v>39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9000000</v>
      </c>
      <c r="P12" s="70">
        <v>20</v>
      </c>
      <c r="Q12" s="57">
        <f>ROUND(P12*18/P3,0)</f>
        <v>28</v>
      </c>
    </row>
    <row r="13" spans="1:17" s="80" customFormat="1" ht="18" customHeight="1" x14ac:dyDescent="0.15">
      <c r="A13" s="362" t="s">
        <v>20</v>
      </c>
      <c r="B13" s="237">
        <v>18.100000000000001</v>
      </c>
      <c r="C13" s="71">
        <v>19</v>
      </c>
      <c r="D13" s="72">
        <v>39</v>
      </c>
      <c r="E13" s="73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540000</v>
      </c>
      <c r="P13" s="70">
        <v>21</v>
      </c>
      <c r="Q13" s="57">
        <f>ROUND(P13*18/P3,0)</f>
        <v>29</v>
      </c>
    </row>
    <row r="14" spans="1:17" s="80" customFormat="1" ht="18" customHeight="1" x14ac:dyDescent="0.15">
      <c r="A14" s="362" t="s">
        <v>26</v>
      </c>
      <c r="B14" s="237">
        <v>24.4</v>
      </c>
      <c r="C14" s="71">
        <v>18</v>
      </c>
      <c r="D14" s="72">
        <v>40</v>
      </c>
      <c r="E14" s="87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  <c r="P14" s="70">
        <v>22</v>
      </c>
      <c r="Q14" s="57">
        <f>ROUND(P14*18/P3,0)</f>
        <v>30</v>
      </c>
    </row>
    <row r="15" spans="1:17" s="80" customFormat="1" ht="18" customHeight="1" x14ac:dyDescent="0.15">
      <c r="A15" s="362" t="s">
        <v>38</v>
      </c>
      <c r="B15" s="237">
        <v>15.4</v>
      </c>
      <c r="C15" s="71">
        <v>17</v>
      </c>
      <c r="D15" s="72">
        <v>35</v>
      </c>
      <c r="E15" s="87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  <c r="P15" s="70">
        <v>23</v>
      </c>
      <c r="Q15" s="57">
        <f>ROUND(P15*18/P3,0)</f>
        <v>32</v>
      </c>
    </row>
    <row r="16" spans="1:17" s="80" customFormat="1" ht="18" customHeight="1" x14ac:dyDescent="0.15">
      <c r="A16" s="362" t="s">
        <v>14</v>
      </c>
      <c r="B16" s="237">
        <v>12.8</v>
      </c>
      <c r="C16" s="72">
        <v>14</v>
      </c>
      <c r="D16" s="72">
        <v>38</v>
      </c>
      <c r="E16" s="87"/>
      <c r="F16" s="12"/>
      <c r="G16" s="12"/>
      <c r="H16" s="74">
        <f t="shared" si="2"/>
        <v>50000</v>
      </c>
      <c r="I16" s="75">
        <f t="shared" si="3"/>
        <v>50000</v>
      </c>
      <c r="P16" s="70">
        <v>24</v>
      </c>
      <c r="Q16" s="57">
        <f>ROUND(P16*18/P3,0)</f>
        <v>33</v>
      </c>
    </row>
    <row r="17" spans="1:17" s="80" customFormat="1" ht="18" customHeight="1" x14ac:dyDescent="0.15">
      <c r="A17" s="362"/>
      <c r="B17" s="237"/>
      <c r="C17" s="71"/>
      <c r="D17" s="72"/>
      <c r="E17" s="73"/>
      <c r="F17" s="12"/>
      <c r="G17" s="12"/>
      <c r="H17" s="74">
        <f t="shared" si="2"/>
        <v>0</v>
      </c>
      <c r="I17" s="75">
        <f t="shared" si="3"/>
        <v>0</v>
      </c>
      <c r="O17" s="85"/>
      <c r="P17" s="70">
        <v>25</v>
      </c>
      <c r="Q17" s="57">
        <f>ROUND(P17*18/P3,0)</f>
        <v>35</v>
      </c>
    </row>
    <row r="18" spans="1:17" s="80" customFormat="1" ht="18" customHeight="1" x14ac:dyDescent="0.15">
      <c r="A18" s="362"/>
      <c r="B18" s="237"/>
      <c r="C18" s="71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"/>
      <c r="K18" s="8"/>
      <c r="L18" s="8"/>
      <c r="M18" s="8"/>
      <c r="N18" s="8"/>
      <c r="O18" s="86"/>
      <c r="P18" s="70">
        <v>26</v>
      </c>
      <c r="Q18" s="57">
        <f>ROUND(P18*18/P3,0)</f>
        <v>36</v>
      </c>
    </row>
    <row r="19" spans="1:17" s="80" customFormat="1" ht="18" customHeight="1" x14ac:dyDescent="0.15">
      <c r="A19" s="362"/>
      <c r="B19" s="237"/>
      <c r="C19" s="71"/>
      <c r="D19" s="72"/>
      <c r="E19" s="87"/>
      <c r="F19" s="71"/>
      <c r="G19" s="71"/>
      <c r="H19" s="74">
        <f t="shared" si="2"/>
        <v>0</v>
      </c>
      <c r="I19" s="75">
        <f t="shared" si="3"/>
        <v>0</v>
      </c>
      <c r="J19" s="8"/>
      <c r="K19" s="8"/>
      <c r="L19" s="8"/>
      <c r="M19" s="8"/>
      <c r="N19" s="8"/>
      <c r="O19" s="86"/>
      <c r="P19" s="70">
        <v>27</v>
      </c>
      <c r="Q19" s="57">
        <f>ROUND(P19*18/P3,0)</f>
        <v>37</v>
      </c>
    </row>
    <row r="20" spans="1:17" s="56" customFormat="1" ht="18" customHeight="1" x14ac:dyDescent="0.15">
      <c r="A20" s="362"/>
      <c r="B20" s="237"/>
      <c r="C20" s="9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  <c r="J20" s="8"/>
      <c r="K20" s="8"/>
      <c r="L20" s="8"/>
      <c r="M20" s="8"/>
      <c r="N20" s="8"/>
      <c r="P20" s="70">
        <v>28</v>
      </c>
      <c r="Q20" s="57">
        <f>ROUND(P20*18/P3,0)</f>
        <v>39</v>
      </c>
    </row>
    <row r="21" spans="1:17" s="56" customFormat="1" ht="18" customHeight="1" x14ac:dyDescent="0.15">
      <c r="A21" s="362"/>
      <c r="B21" s="237"/>
      <c r="C21" s="72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8"/>
      <c r="K21" s="8"/>
      <c r="L21" s="8"/>
      <c r="M21" s="8"/>
      <c r="N21" s="8"/>
      <c r="P21" s="70">
        <v>29</v>
      </c>
      <c r="Q21" s="57">
        <f>ROUND(P21*18/P3,0)</f>
        <v>40</v>
      </c>
    </row>
    <row r="22" spans="1:17" s="56" customFormat="1" ht="18" customHeight="1" x14ac:dyDescent="0.15">
      <c r="A22" s="362"/>
      <c r="B22" s="237"/>
      <c r="C22" s="71"/>
      <c r="D22" s="72"/>
      <c r="E22" s="87"/>
      <c r="F22" s="12"/>
      <c r="G22" s="12"/>
      <c r="H22" s="74">
        <f t="shared" si="2"/>
        <v>0</v>
      </c>
      <c r="I22" s="75">
        <f t="shared" si="3"/>
        <v>0</v>
      </c>
      <c r="J22" s="8"/>
      <c r="K22" s="8"/>
      <c r="L22" s="8"/>
      <c r="M22" s="8"/>
      <c r="N22" s="8"/>
      <c r="P22" s="70">
        <v>30</v>
      </c>
      <c r="Q22" s="57">
        <f>ROUND(P22*18/P3,0)</f>
        <v>42</v>
      </c>
    </row>
    <row r="23" spans="1:17" s="56" customFormat="1" ht="18" customHeight="1" x14ac:dyDescent="0.15">
      <c r="A23" s="362"/>
      <c r="B23" s="237"/>
      <c r="C23" s="72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8"/>
      <c r="K23" s="8"/>
      <c r="L23" s="8"/>
      <c r="M23" s="8"/>
      <c r="N23" s="8"/>
      <c r="P23" s="70">
        <v>31</v>
      </c>
      <c r="Q23" s="57">
        <f>ROUND(P23*18/P3,0)</f>
        <v>43</v>
      </c>
    </row>
    <row r="24" spans="1:17" s="56" customFormat="1" ht="18" customHeight="1" x14ac:dyDescent="0.15">
      <c r="A24" s="362"/>
      <c r="B24" s="237"/>
      <c r="C24" s="71"/>
      <c r="E24" s="73"/>
      <c r="F24" s="12"/>
      <c r="G24" s="12"/>
      <c r="H24" s="74">
        <f t="shared" si="2"/>
        <v>0</v>
      </c>
      <c r="I24" s="75">
        <f t="shared" si="3"/>
        <v>0</v>
      </c>
      <c r="J24" s="8"/>
      <c r="K24" s="8"/>
      <c r="L24" s="8"/>
      <c r="M24" s="8"/>
      <c r="N24" s="8"/>
      <c r="P24" s="70">
        <v>32</v>
      </c>
      <c r="Q24" s="57">
        <f>ROUND(P24*18/P3,0)</f>
        <v>44</v>
      </c>
    </row>
    <row r="25" spans="1:17" s="56" customFormat="1" ht="18" customHeight="1" x14ac:dyDescent="0.15">
      <c r="A25" s="362"/>
      <c r="B25" s="237"/>
      <c r="C25" s="71"/>
      <c r="D25" s="72"/>
      <c r="E25" s="73"/>
      <c r="F25" s="12"/>
      <c r="G25" s="12"/>
      <c r="H25" s="74">
        <f t="shared" si="2"/>
        <v>0</v>
      </c>
      <c r="I25" s="75">
        <f>IF(E25&gt;0,$N$13,0)+IF(C25&gt;0,50000,0)+IF(C25&lt;0,50000,0)</f>
        <v>0</v>
      </c>
      <c r="J25" s="8"/>
      <c r="K25" s="8"/>
      <c r="L25" s="8"/>
      <c r="M25" s="8"/>
      <c r="N25" s="8"/>
    </row>
    <row r="26" spans="1:17" s="56" customFormat="1" ht="18" customHeight="1" x14ac:dyDescent="0.15">
      <c r="A26" s="362"/>
      <c r="B26" s="237"/>
      <c r="C26" s="71"/>
      <c r="D26" s="104" t="s">
        <v>96</v>
      </c>
      <c r="E26" s="87"/>
      <c r="F26" s="71"/>
      <c r="G26" s="71"/>
      <c r="H26" s="74">
        <f t="shared" si="2"/>
        <v>0</v>
      </c>
      <c r="I26" s="75">
        <f t="shared" si="3"/>
        <v>0</v>
      </c>
      <c r="J26" s="8"/>
      <c r="K26" s="8"/>
      <c r="L26" s="8"/>
      <c r="M26" s="8"/>
      <c r="N26" s="8"/>
    </row>
    <row r="27" spans="1:17" s="56" customFormat="1" ht="18" customHeight="1" x14ac:dyDescent="0.15">
      <c r="A27" s="149"/>
      <c r="B27" s="237"/>
      <c r="C27" s="71"/>
      <c r="D27" s="72"/>
      <c r="E27" s="87"/>
      <c r="F27" s="71"/>
      <c r="G27" s="71"/>
      <c r="H27" s="74">
        <f>I27</f>
        <v>0</v>
      </c>
      <c r="I27" s="75">
        <f>IF(E27&gt;0,$N$13,0)+IF(C27&gt;0,50000,0)+IF(C27&lt;0,50000,0)</f>
        <v>0</v>
      </c>
      <c r="J27" s="8"/>
      <c r="K27" s="8"/>
      <c r="L27" s="8"/>
      <c r="M27" s="8"/>
      <c r="N27" s="8"/>
    </row>
    <row r="28" spans="1:17" s="56" customFormat="1" ht="18" customHeight="1" x14ac:dyDescent="0.15">
      <c r="A28" s="149"/>
      <c r="B28" s="237"/>
      <c r="C28" s="71"/>
      <c r="D28" s="72"/>
      <c r="E28" s="73"/>
      <c r="F28" s="71"/>
      <c r="G28" s="71"/>
      <c r="H28" s="74">
        <f t="shared" si="2"/>
        <v>0</v>
      </c>
      <c r="I28" s="75">
        <f t="shared" si="3"/>
        <v>0</v>
      </c>
      <c r="J28" s="8"/>
      <c r="K28" s="8"/>
      <c r="L28" s="8"/>
      <c r="M28" s="8"/>
      <c r="N28" s="8"/>
    </row>
    <row r="29" spans="1:17" ht="24" customHeight="1" thickBot="1" x14ac:dyDescent="0.2">
      <c r="A29" s="1"/>
      <c r="B29" s="3"/>
      <c r="C29" s="105"/>
      <c r="D29" s="106">
        <f>SUM(D4:D28)</f>
        <v>452</v>
      </c>
      <c r="E29" s="105"/>
      <c r="F29" s="3"/>
      <c r="G29" s="107">
        <f>SUM(G4:G28)</f>
        <v>39</v>
      </c>
      <c r="H29" s="107">
        <f>SUM(H4:H28)</f>
        <v>10390000</v>
      </c>
      <c r="I29" s="108"/>
    </row>
  </sheetData>
  <sheetProtection selectLockedCells="1" selectUnlockedCells="1"/>
  <sortState ref="A4:C16">
    <sortCondition descending="1" ref="C4:C16"/>
    <sortCondition ref="B4:B16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79" firstPageNumber="0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Q29"/>
  <sheetViews>
    <sheetView workbookViewId="0">
      <selection sqref="A1:N29"/>
    </sheetView>
  </sheetViews>
  <sheetFormatPr baseColWidth="10" defaultColWidth="9.1640625" defaultRowHeight="18" x14ac:dyDescent="0.2"/>
  <cols>
    <col min="1" max="1" width="25.1640625" style="53" customWidth="1"/>
    <col min="2" max="2" width="7.83203125" style="54" customWidth="1"/>
    <col min="3" max="3" width="8.5" style="55" customWidth="1"/>
    <col min="4" max="4" width="6.83203125" style="54" customWidth="1"/>
    <col min="5" max="5" width="8.1640625" style="54" customWidth="1"/>
    <col min="6" max="6" width="10.1640625" style="54" customWidth="1"/>
    <col min="7" max="7" width="9.1640625" style="54"/>
    <col min="8" max="8" width="13.5" style="54" customWidth="1"/>
    <col min="9" max="9" width="4.83203125" style="8" customWidth="1"/>
    <col min="10" max="10" width="8.5" style="8" customWidth="1"/>
    <col min="11" max="11" width="7" style="8" customWidth="1"/>
    <col min="12" max="12" width="7.83203125" style="8" customWidth="1"/>
    <col min="13" max="13" width="7.5" style="8" customWidth="1"/>
    <col min="14" max="14" width="12.5" style="8" customWidth="1"/>
    <col min="15" max="15" width="7.5" style="8" customWidth="1"/>
    <col min="16" max="16384" width="9.1640625" style="8"/>
  </cols>
  <sheetData>
    <row r="1" spans="1:17" s="56" customFormat="1" ht="43.5" customHeight="1" x14ac:dyDescent="0.15">
      <c r="B1" s="440" t="s">
        <v>212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17" s="56" customFormat="1" ht="29.25" customHeight="1" x14ac:dyDescent="0.15">
      <c r="B2" s="449" t="s">
        <v>302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P2" s="109" t="s">
        <v>97</v>
      </c>
      <c r="Q2" s="109" t="s">
        <v>98</v>
      </c>
    </row>
    <row r="3" spans="1:17" s="69" customFormat="1" ht="27" customHeight="1" x14ac:dyDescent="0.15">
      <c r="A3" s="58" t="s">
        <v>77</v>
      </c>
      <c r="B3" s="59" t="s">
        <v>78</v>
      </c>
      <c r="C3" s="59" t="s">
        <v>79</v>
      </c>
      <c r="D3" s="59" t="s">
        <v>80</v>
      </c>
      <c r="E3" s="59" t="s">
        <v>81</v>
      </c>
      <c r="F3" s="60" t="s">
        <v>82</v>
      </c>
      <c r="G3" s="61" t="s">
        <v>83</v>
      </c>
      <c r="H3" s="62" t="s">
        <v>84</v>
      </c>
      <c r="I3" s="63"/>
      <c r="J3" s="64" t="s">
        <v>82</v>
      </c>
      <c r="K3" s="65"/>
      <c r="L3" s="66"/>
      <c r="M3" s="67" t="s">
        <v>83</v>
      </c>
      <c r="N3" s="68" t="s">
        <v>85</v>
      </c>
      <c r="P3" s="110">
        <v>15</v>
      </c>
      <c r="Q3" s="57" t="s">
        <v>76</v>
      </c>
    </row>
    <row r="4" spans="1:17" s="80" customFormat="1" ht="18" customHeight="1" x14ac:dyDescent="0.15">
      <c r="A4" s="362" t="s">
        <v>42</v>
      </c>
      <c r="B4" s="237">
        <v>16</v>
      </c>
      <c r="C4" s="71">
        <v>39</v>
      </c>
      <c r="D4" s="72">
        <v>32</v>
      </c>
      <c r="E4" s="73"/>
      <c r="F4" s="71">
        <v>1</v>
      </c>
      <c r="G4" s="71">
        <v>10</v>
      </c>
      <c r="H4" s="74">
        <f t="shared" ref="H4:H11" si="0">N4+I4</f>
        <v>2050000</v>
      </c>
      <c r="I4" s="75">
        <f t="shared" ref="I4:I11" si="1">IF(E4&gt;0,$N$13,0)+IF(C4&gt;0,50000,0)+IF(C12&lt;0,50000,0)</f>
        <v>50000</v>
      </c>
      <c r="J4" s="76" t="s">
        <v>86</v>
      </c>
      <c r="K4" s="77"/>
      <c r="L4" s="78"/>
      <c r="M4" s="79">
        <v>10</v>
      </c>
      <c r="N4" s="74">
        <f>N12*25%</f>
        <v>2000000</v>
      </c>
      <c r="P4" s="70">
        <v>20</v>
      </c>
      <c r="Q4" s="57">
        <f>ROUND(P4*18/P3,0)</f>
        <v>24</v>
      </c>
    </row>
    <row r="5" spans="1:17" s="80" customFormat="1" ht="18" customHeight="1" x14ac:dyDescent="0.15">
      <c r="A5" s="362" t="s">
        <v>46</v>
      </c>
      <c r="B5" s="237">
        <v>23.1</v>
      </c>
      <c r="C5" s="71">
        <v>33</v>
      </c>
      <c r="D5" s="72">
        <v>36</v>
      </c>
      <c r="E5" s="73"/>
      <c r="F5" s="71">
        <v>2</v>
      </c>
      <c r="G5" s="71">
        <v>8</v>
      </c>
      <c r="H5" s="74">
        <f t="shared" si="0"/>
        <v>1650000</v>
      </c>
      <c r="I5" s="75">
        <f t="shared" si="1"/>
        <v>50000</v>
      </c>
      <c r="J5" s="81" t="s">
        <v>87</v>
      </c>
      <c r="K5" s="82"/>
      <c r="L5" s="83"/>
      <c r="M5" s="84">
        <v>8</v>
      </c>
      <c r="N5" s="74">
        <f>N12*20%</f>
        <v>1600000</v>
      </c>
      <c r="P5" s="70">
        <v>21</v>
      </c>
      <c r="Q5" s="57">
        <f>ROUND(P5*18/P3,0)</f>
        <v>25</v>
      </c>
    </row>
    <row r="6" spans="1:17" s="80" customFormat="1" ht="18" customHeight="1" x14ac:dyDescent="0.15">
      <c r="A6" s="362" t="s">
        <v>44</v>
      </c>
      <c r="B6" s="237">
        <v>16.3</v>
      </c>
      <c r="C6" s="72">
        <v>32</v>
      </c>
      <c r="D6" s="72">
        <v>33</v>
      </c>
      <c r="E6" s="87"/>
      <c r="F6" s="12">
        <v>3</v>
      </c>
      <c r="G6" s="12">
        <v>6</v>
      </c>
      <c r="H6" s="74">
        <f t="shared" si="0"/>
        <v>1250000</v>
      </c>
      <c r="I6" s="75">
        <f t="shared" si="1"/>
        <v>50000</v>
      </c>
      <c r="J6" s="81" t="s">
        <v>88</v>
      </c>
      <c r="K6" s="82"/>
      <c r="L6" s="83"/>
      <c r="M6" s="84">
        <v>6</v>
      </c>
      <c r="N6" s="74">
        <f>N12*15%</f>
        <v>1200000</v>
      </c>
      <c r="P6" s="70">
        <v>22</v>
      </c>
      <c r="Q6" s="57">
        <f>ROUND(P6*18/P3,0)</f>
        <v>26</v>
      </c>
    </row>
    <row r="7" spans="1:17" s="80" customFormat="1" ht="18" customHeight="1" x14ac:dyDescent="0.15">
      <c r="A7" s="362" t="s">
        <v>24</v>
      </c>
      <c r="B7" s="237">
        <v>13</v>
      </c>
      <c r="C7" s="71">
        <v>30</v>
      </c>
      <c r="D7" s="72">
        <v>34</v>
      </c>
      <c r="E7" s="73"/>
      <c r="F7" s="71">
        <v>4</v>
      </c>
      <c r="G7" s="71">
        <v>5</v>
      </c>
      <c r="H7" s="74">
        <f t="shared" si="0"/>
        <v>1010000</v>
      </c>
      <c r="I7" s="75">
        <f t="shared" si="1"/>
        <v>50000</v>
      </c>
      <c r="J7" s="81" t="s">
        <v>89</v>
      </c>
      <c r="K7" s="82"/>
      <c r="L7" s="83"/>
      <c r="M7" s="84">
        <v>5</v>
      </c>
      <c r="N7" s="74">
        <f>N12*12%</f>
        <v>960000</v>
      </c>
      <c r="O7" s="85"/>
      <c r="P7" s="70">
        <v>23</v>
      </c>
      <c r="Q7" s="57">
        <f>ROUND(P7*18/P3,0)</f>
        <v>28</v>
      </c>
    </row>
    <row r="8" spans="1:17" s="80" customFormat="1" ht="18" customHeight="1" x14ac:dyDescent="0.15">
      <c r="A8" s="362" t="s">
        <v>40</v>
      </c>
      <c r="B8" s="237">
        <v>22.8</v>
      </c>
      <c r="C8" s="71">
        <v>30</v>
      </c>
      <c r="D8" s="72">
        <v>39</v>
      </c>
      <c r="E8" s="73"/>
      <c r="F8" s="71">
        <v>5</v>
      </c>
      <c r="G8" s="71">
        <v>4</v>
      </c>
      <c r="H8" s="74">
        <f t="shared" si="0"/>
        <v>850000</v>
      </c>
      <c r="I8" s="75">
        <f t="shared" si="1"/>
        <v>50000</v>
      </c>
      <c r="J8" s="81" t="s">
        <v>90</v>
      </c>
      <c r="K8" s="82"/>
      <c r="L8" s="83"/>
      <c r="M8" s="84">
        <v>4</v>
      </c>
      <c r="N8" s="74">
        <f>N12*10%</f>
        <v>800000</v>
      </c>
      <c r="P8" s="70">
        <v>24</v>
      </c>
      <c r="Q8" s="57">
        <f>ROUND(P8*18/P3,0)</f>
        <v>29</v>
      </c>
    </row>
    <row r="9" spans="1:17" s="80" customFormat="1" ht="18" customHeight="1" x14ac:dyDescent="0.15">
      <c r="A9" s="362" t="s">
        <v>18</v>
      </c>
      <c r="B9" s="237">
        <v>13.9</v>
      </c>
      <c r="C9" s="71">
        <v>29</v>
      </c>
      <c r="D9" s="72">
        <v>32</v>
      </c>
      <c r="E9" s="87">
        <v>3.49</v>
      </c>
      <c r="F9" s="91">
        <v>6</v>
      </c>
      <c r="G9" s="91">
        <v>3</v>
      </c>
      <c r="H9" s="74">
        <f t="shared" si="0"/>
        <v>1170000</v>
      </c>
      <c r="I9" s="75">
        <f t="shared" si="1"/>
        <v>530000</v>
      </c>
      <c r="J9" s="81" t="s">
        <v>91</v>
      </c>
      <c r="K9" s="82"/>
      <c r="L9" s="83"/>
      <c r="M9" s="84">
        <v>3</v>
      </c>
      <c r="N9" s="74">
        <f>N12*8%</f>
        <v>640000</v>
      </c>
      <c r="P9" s="70">
        <v>25</v>
      </c>
      <c r="Q9" s="57">
        <f>ROUND(P9*18/P3,0)</f>
        <v>30</v>
      </c>
    </row>
    <row r="10" spans="1:17" s="80" customFormat="1" ht="18" customHeight="1" x14ac:dyDescent="0.15">
      <c r="A10" s="362" t="s">
        <v>30</v>
      </c>
      <c r="B10" s="237">
        <v>11.1</v>
      </c>
      <c r="C10" s="71">
        <v>27</v>
      </c>
      <c r="D10" s="72">
        <v>39</v>
      </c>
      <c r="E10" s="73"/>
      <c r="F10" s="71">
        <v>7</v>
      </c>
      <c r="G10" s="71">
        <v>2</v>
      </c>
      <c r="H10" s="74">
        <f t="shared" si="0"/>
        <v>530000</v>
      </c>
      <c r="I10" s="75">
        <f t="shared" si="1"/>
        <v>50000</v>
      </c>
      <c r="J10" s="81" t="s">
        <v>92</v>
      </c>
      <c r="K10" s="82"/>
      <c r="L10" s="83"/>
      <c r="M10" s="84">
        <v>2</v>
      </c>
      <c r="N10" s="74">
        <f>N12*6%</f>
        <v>480000</v>
      </c>
      <c r="P10" s="70">
        <v>26</v>
      </c>
      <c r="Q10" s="57">
        <f>ROUND(P10*18/P3,0)</f>
        <v>31</v>
      </c>
    </row>
    <row r="11" spans="1:17" s="80" customFormat="1" ht="18" customHeight="1" x14ac:dyDescent="0.15">
      <c r="A11" s="362" t="s">
        <v>147</v>
      </c>
      <c r="B11" s="237">
        <v>11</v>
      </c>
      <c r="C11" s="71">
        <v>26</v>
      </c>
      <c r="D11" s="72">
        <v>37</v>
      </c>
      <c r="E11" s="73"/>
      <c r="F11" s="71">
        <v>8</v>
      </c>
      <c r="G11" s="71">
        <v>1</v>
      </c>
      <c r="H11" s="74">
        <f t="shared" si="0"/>
        <v>370000</v>
      </c>
      <c r="I11" s="75">
        <f t="shared" si="1"/>
        <v>50000</v>
      </c>
      <c r="J11" s="81" t="s">
        <v>93</v>
      </c>
      <c r="K11" s="82"/>
      <c r="L11" s="83"/>
      <c r="M11" s="84">
        <v>1</v>
      </c>
      <c r="N11" s="74">
        <f>N12*4%</f>
        <v>320000</v>
      </c>
      <c r="P11" s="70">
        <v>27</v>
      </c>
      <c r="Q11" s="57">
        <f>ROUND(P11*18/P3,0)</f>
        <v>32</v>
      </c>
    </row>
    <row r="12" spans="1:17" s="80" customFormat="1" ht="18" customHeight="1" x14ac:dyDescent="0.15">
      <c r="A12" s="362" t="s">
        <v>8</v>
      </c>
      <c r="B12" s="237">
        <v>21.5</v>
      </c>
      <c r="C12" s="72">
        <v>26</v>
      </c>
      <c r="D12" s="72">
        <v>46</v>
      </c>
      <c r="E12" s="73"/>
      <c r="F12" s="71"/>
      <c r="G12" s="71"/>
      <c r="H12" s="74">
        <f t="shared" ref="H12:H28" si="2">I12</f>
        <v>50000</v>
      </c>
      <c r="I12" s="75">
        <f t="shared" ref="I12:I28" si="3">IF(E12&gt;0,$N$13,0)+IF(C12&gt;0,50000,0)+IF(C12&lt;0,50000,0)</f>
        <v>50000</v>
      </c>
      <c r="J12" s="89" t="s">
        <v>94</v>
      </c>
      <c r="K12" s="82"/>
      <c r="L12" s="83"/>
      <c r="M12" s="84"/>
      <c r="N12" s="90">
        <v>8000000</v>
      </c>
      <c r="P12" s="70">
        <v>28</v>
      </c>
      <c r="Q12" s="57">
        <f>ROUND(P12*18/P3,0)</f>
        <v>34</v>
      </c>
    </row>
    <row r="13" spans="1:17" s="80" customFormat="1" ht="18" customHeight="1" x14ac:dyDescent="0.15">
      <c r="A13" s="362" t="s">
        <v>48</v>
      </c>
      <c r="B13" s="237">
        <v>9.6999999999999993</v>
      </c>
      <c r="C13" s="71">
        <v>24</v>
      </c>
      <c r="D13" s="72">
        <v>40</v>
      </c>
      <c r="E13" s="87"/>
      <c r="F13" s="71"/>
      <c r="G13" s="71"/>
      <c r="H13" s="74">
        <f t="shared" si="2"/>
        <v>50000</v>
      </c>
      <c r="I13" s="75">
        <f t="shared" si="3"/>
        <v>50000</v>
      </c>
      <c r="J13" s="92" t="s">
        <v>95</v>
      </c>
      <c r="K13" s="93"/>
      <c r="L13" s="94"/>
      <c r="M13" s="95">
        <v>1</v>
      </c>
      <c r="N13" s="96">
        <f>N10</f>
        <v>480000</v>
      </c>
      <c r="P13" s="70">
        <v>29</v>
      </c>
      <c r="Q13" s="57">
        <f>ROUND(P13*18/P3,0)</f>
        <v>35</v>
      </c>
    </row>
    <row r="14" spans="1:17" s="80" customFormat="1" ht="18" customHeight="1" x14ac:dyDescent="0.15">
      <c r="A14" s="362" t="s">
        <v>34</v>
      </c>
      <c r="B14" s="237">
        <v>12.8</v>
      </c>
      <c r="C14" s="71">
        <v>24</v>
      </c>
      <c r="D14" s="72">
        <v>43</v>
      </c>
      <c r="E14" s="73"/>
      <c r="F14" s="71"/>
      <c r="G14" s="71"/>
      <c r="H14" s="74">
        <f t="shared" si="2"/>
        <v>50000</v>
      </c>
      <c r="I14" s="75">
        <f t="shared" si="3"/>
        <v>50000</v>
      </c>
      <c r="J14" s="97"/>
      <c r="K14" s="93"/>
      <c r="L14" s="93"/>
      <c r="M14" s="98"/>
      <c r="N14" s="99"/>
      <c r="P14" s="70">
        <v>30</v>
      </c>
      <c r="Q14" s="57">
        <f>ROUND(P14*18/P3,0)</f>
        <v>36</v>
      </c>
    </row>
    <row r="15" spans="1:17" s="80" customFormat="1" ht="18" customHeight="1" x14ac:dyDescent="0.15">
      <c r="A15" s="362" t="s">
        <v>10</v>
      </c>
      <c r="B15" s="237">
        <v>14.3</v>
      </c>
      <c r="C15" s="12">
        <v>23</v>
      </c>
      <c r="D15" s="72">
        <v>38</v>
      </c>
      <c r="E15" s="73"/>
      <c r="F15" s="71"/>
      <c r="G15" s="71"/>
      <c r="H15" s="74">
        <f t="shared" si="2"/>
        <v>50000</v>
      </c>
      <c r="I15" s="75">
        <f t="shared" si="3"/>
        <v>50000</v>
      </c>
      <c r="J15" s="100"/>
      <c r="K15" s="101"/>
      <c r="L15" s="101"/>
      <c r="M15" s="102"/>
      <c r="N15" s="103"/>
      <c r="P15" s="70">
        <v>31</v>
      </c>
      <c r="Q15" s="57">
        <f>ROUND(P15*18/P3,0)</f>
        <v>37</v>
      </c>
    </row>
    <row r="16" spans="1:17" s="80" customFormat="1" ht="18" customHeight="1" x14ac:dyDescent="0.15">
      <c r="A16" s="362" t="s">
        <v>52</v>
      </c>
      <c r="B16" s="237">
        <v>12.2</v>
      </c>
      <c r="C16" s="72">
        <v>21</v>
      </c>
      <c r="D16" s="72">
        <v>39</v>
      </c>
      <c r="E16" s="87"/>
      <c r="F16" s="12"/>
      <c r="G16" s="12"/>
      <c r="H16" s="74">
        <f t="shared" si="2"/>
        <v>50000</v>
      </c>
      <c r="I16" s="75">
        <f t="shared" si="3"/>
        <v>50000</v>
      </c>
      <c r="P16" s="70">
        <v>32</v>
      </c>
      <c r="Q16" s="57">
        <f>ROUND(P16*18/P3,0)</f>
        <v>38</v>
      </c>
    </row>
    <row r="17" spans="1:17" s="80" customFormat="1" ht="18" customHeight="1" x14ac:dyDescent="0.15">
      <c r="A17" s="362" t="s">
        <v>22</v>
      </c>
      <c r="B17" s="237">
        <v>13.7</v>
      </c>
      <c r="C17" s="71">
        <v>21</v>
      </c>
      <c r="D17" s="72">
        <v>37</v>
      </c>
      <c r="E17" s="87"/>
      <c r="F17" s="12"/>
      <c r="G17" s="12"/>
      <c r="H17" s="74">
        <f t="shared" si="2"/>
        <v>50000</v>
      </c>
      <c r="I17" s="75">
        <f t="shared" si="3"/>
        <v>50000</v>
      </c>
      <c r="O17" s="85"/>
      <c r="P17" s="70">
        <v>33</v>
      </c>
      <c r="Q17" s="57">
        <f>ROUND(P17*18/P3,0)</f>
        <v>40</v>
      </c>
    </row>
    <row r="18" spans="1:17" s="80" customFormat="1" ht="18" customHeight="1" x14ac:dyDescent="0.15">
      <c r="A18" s="362"/>
      <c r="B18" s="237"/>
      <c r="C18" s="91"/>
      <c r="D18" s="72"/>
      <c r="E18" s="73"/>
      <c r="F18" s="71"/>
      <c r="G18" s="71"/>
      <c r="H18" s="74">
        <f t="shared" si="2"/>
        <v>0</v>
      </c>
      <c r="I18" s="75">
        <f t="shared" si="3"/>
        <v>0</v>
      </c>
      <c r="J18" s="8"/>
      <c r="K18" s="8"/>
      <c r="L18" s="8"/>
      <c r="M18" s="8"/>
      <c r="N18" s="8"/>
      <c r="O18" s="86"/>
      <c r="P18" s="70">
        <v>34</v>
      </c>
      <c r="Q18" s="57">
        <f>ROUND(P18*18/P3,0)</f>
        <v>41</v>
      </c>
    </row>
    <row r="19" spans="1:17" s="80" customFormat="1" ht="18" customHeight="1" x14ac:dyDescent="0.15">
      <c r="A19" s="362"/>
      <c r="B19" s="237"/>
      <c r="C19" s="72"/>
      <c r="D19" s="72"/>
      <c r="E19" s="87"/>
      <c r="F19" s="71"/>
      <c r="G19" s="71"/>
      <c r="H19" s="74">
        <f t="shared" si="2"/>
        <v>0</v>
      </c>
      <c r="I19" s="75">
        <f t="shared" si="3"/>
        <v>0</v>
      </c>
      <c r="J19" s="8"/>
      <c r="K19" s="8"/>
      <c r="L19" s="8"/>
      <c r="M19" s="8"/>
      <c r="N19" s="8"/>
      <c r="O19" s="86"/>
      <c r="P19" s="70">
        <v>35</v>
      </c>
      <c r="Q19" s="57">
        <f>ROUND(P19*18/P3,0)</f>
        <v>42</v>
      </c>
    </row>
    <row r="20" spans="1:17" s="56" customFormat="1" ht="18" customHeight="1" x14ac:dyDescent="0.15">
      <c r="A20" s="362"/>
      <c r="B20" s="237"/>
      <c r="C20" s="71"/>
      <c r="D20" s="72"/>
      <c r="E20" s="73"/>
      <c r="F20" s="12"/>
      <c r="G20" s="12"/>
      <c r="H20" s="74">
        <f t="shared" si="2"/>
        <v>0</v>
      </c>
      <c r="I20" s="75">
        <f t="shared" si="3"/>
        <v>0</v>
      </c>
      <c r="J20" s="8"/>
      <c r="K20" s="8"/>
      <c r="L20" s="8"/>
      <c r="M20" s="8"/>
      <c r="N20" s="8"/>
      <c r="P20" s="70">
        <v>36</v>
      </c>
      <c r="Q20" s="57">
        <f>ROUND(P20*18/P3,0)</f>
        <v>43</v>
      </c>
    </row>
    <row r="21" spans="1:17" s="56" customFormat="1" ht="18" customHeight="1" x14ac:dyDescent="0.15">
      <c r="A21" s="362"/>
      <c r="B21" s="237"/>
      <c r="C21" s="71"/>
      <c r="D21" s="72"/>
      <c r="E21" s="73"/>
      <c r="F21" s="12"/>
      <c r="G21" s="12"/>
      <c r="H21" s="74">
        <f t="shared" si="2"/>
        <v>0</v>
      </c>
      <c r="I21" s="75">
        <f t="shared" si="3"/>
        <v>0</v>
      </c>
      <c r="J21" s="8"/>
      <c r="K21" s="8"/>
      <c r="L21" s="8"/>
      <c r="M21" s="8"/>
      <c r="N21" s="8"/>
      <c r="P21" s="70">
        <v>37</v>
      </c>
      <c r="Q21" s="57">
        <f>ROUND(P21*18/P3,0)</f>
        <v>44</v>
      </c>
    </row>
    <row r="22" spans="1:17" s="56" customFormat="1" ht="18" customHeight="1" x14ac:dyDescent="0.15">
      <c r="A22" s="362"/>
      <c r="B22" s="237"/>
      <c r="C22" s="71"/>
      <c r="D22" s="72"/>
      <c r="E22" s="73"/>
      <c r="F22" s="12"/>
      <c r="G22" s="12"/>
      <c r="H22" s="74">
        <f t="shared" si="2"/>
        <v>0</v>
      </c>
      <c r="I22" s="75">
        <f t="shared" si="3"/>
        <v>0</v>
      </c>
      <c r="J22" s="8"/>
      <c r="K22" s="8"/>
      <c r="L22" s="8"/>
      <c r="M22" s="8"/>
      <c r="N22" s="8"/>
      <c r="P22" s="70">
        <v>38</v>
      </c>
      <c r="Q22" s="57">
        <f>ROUND(P22*18/P3,0)</f>
        <v>46</v>
      </c>
    </row>
    <row r="23" spans="1:17" s="56" customFormat="1" ht="18" customHeight="1" x14ac:dyDescent="0.15">
      <c r="A23" s="362"/>
      <c r="B23" s="237"/>
      <c r="C23" s="71"/>
      <c r="D23" s="72"/>
      <c r="E23" s="73"/>
      <c r="F23" s="12"/>
      <c r="G23" s="12"/>
      <c r="H23" s="74">
        <f t="shared" si="2"/>
        <v>0</v>
      </c>
      <c r="I23" s="75">
        <f t="shared" si="3"/>
        <v>0</v>
      </c>
      <c r="J23" s="8"/>
      <c r="K23" s="8"/>
      <c r="L23" s="8"/>
      <c r="M23" s="8"/>
      <c r="N23" s="8"/>
      <c r="P23" s="70">
        <v>39</v>
      </c>
      <c r="Q23" s="57">
        <f>ROUND(P23*18/P3,0)</f>
        <v>47</v>
      </c>
    </row>
    <row r="24" spans="1:17" s="56" customFormat="1" ht="18" customHeight="1" x14ac:dyDescent="0.15">
      <c r="A24" s="362"/>
      <c r="B24" s="237"/>
      <c r="C24" s="72"/>
      <c r="D24" s="9"/>
      <c r="E24" s="73"/>
      <c r="F24" s="12"/>
      <c r="G24" s="12"/>
      <c r="H24" s="74">
        <f t="shared" si="2"/>
        <v>0</v>
      </c>
      <c r="I24" s="75">
        <f t="shared" si="3"/>
        <v>0</v>
      </c>
      <c r="J24" s="8"/>
      <c r="K24" s="8"/>
      <c r="L24" s="8"/>
      <c r="M24" s="8"/>
      <c r="N24" s="8"/>
      <c r="P24" s="70">
        <v>40</v>
      </c>
      <c r="Q24" s="57">
        <f>ROUND(P24*18/P3,0)</f>
        <v>48</v>
      </c>
    </row>
    <row r="25" spans="1:17" s="56" customFormat="1" ht="18" customHeight="1" x14ac:dyDescent="0.15">
      <c r="A25" s="362"/>
      <c r="B25" s="237"/>
      <c r="C25" s="72"/>
      <c r="D25" s="104"/>
      <c r="E25" s="73"/>
      <c r="F25" s="12"/>
      <c r="G25" s="12"/>
      <c r="H25" s="74">
        <f>I25</f>
        <v>0</v>
      </c>
      <c r="I25" s="75">
        <f>IF(E25&gt;0,$N$13,0)+IF(C25&gt;0,50000,0)+IF(C25&lt;0,50000,0)</f>
        <v>0</v>
      </c>
      <c r="J25" s="8"/>
      <c r="K25" s="8"/>
      <c r="L25" s="8"/>
      <c r="M25" s="8"/>
      <c r="N25" s="8"/>
      <c r="P25" s="70"/>
      <c r="Q25" s="57"/>
    </row>
    <row r="26" spans="1:17" s="56" customFormat="1" ht="18" customHeight="1" x14ac:dyDescent="0.15">
      <c r="A26" s="362"/>
      <c r="B26" s="237"/>
      <c r="C26" s="71"/>
      <c r="D26" s="104"/>
      <c r="E26" s="73"/>
      <c r="F26" s="12"/>
      <c r="G26" s="12"/>
      <c r="H26" s="74">
        <f t="shared" si="2"/>
        <v>0</v>
      </c>
      <c r="I26" s="75">
        <f t="shared" si="3"/>
        <v>0</v>
      </c>
      <c r="J26" s="8"/>
      <c r="K26" s="8"/>
      <c r="L26" s="8"/>
      <c r="M26" s="8"/>
      <c r="N26" s="8"/>
    </row>
    <row r="27" spans="1:17" s="56" customFormat="1" ht="18" customHeight="1" x14ac:dyDescent="0.15">
      <c r="A27" s="362"/>
      <c r="B27" s="237"/>
      <c r="C27" s="71"/>
      <c r="D27" s="72"/>
      <c r="E27" s="73"/>
      <c r="F27" s="71"/>
      <c r="G27" s="71"/>
      <c r="H27" s="74">
        <f t="shared" si="2"/>
        <v>0</v>
      </c>
      <c r="I27" s="75">
        <f t="shared" si="3"/>
        <v>0</v>
      </c>
      <c r="J27" s="8"/>
      <c r="K27" s="8"/>
      <c r="L27" s="8"/>
      <c r="M27" s="8"/>
      <c r="N27" s="8"/>
    </row>
    <row r="28" spans="1:17" s="56" customFormat="1" ht="18" customHeight="1" x14ac:dyDescent="0.15">
      <c r="A28" s="362"/>
      <c r="B28" s="237"/>
      <c r="C28" s="72"/>
      <c r="D28" s="104"/>
      <c r="E28" s="87"/>
      <c r="F28" s="71"/>
      <c r="G28" s="71"/>
      <c r="H28" s="74">
        <f t="shared" si="2"/>
        <v>0</v>
      </c>
      <c r="I28" s="75">
        <f t="shared" si="3"/>
        <v>0</v>
      </c>
      <c r="J28" s="8"/>
      <c r="K28" s="8"/>
      <c r="L28" s="8"/>
      <c r="M28" s="8"/>
      <c r="N28" s="8"/>
    </row>
    <row r="29" spans="1:17" ht="24" customHeight="1" x14ac:dyDescent="0.15">
      <c r="A29" s="1"/>
      <c r="B29" s="3"/>
      <c r="C29" s="105"/>
      <c r="D29" s="106">
        <f>SUM(D4:D17)</f>
        <v>525</v>
      </c>
      <c r="E29" s="105"/>
      <c r="F29" s="3"/>
      <c r="G29" s="107">
        <f>SUM(G4:G28)</f>
        <v>39</v>
      </c>
      <c r="H29" s="107">
        <f>SUM(H4:H28)</f>
        <v>9180000</v>
      </c>
      <c r="I29" s="108"/>
    </row>
  </sheetData>
  <sheetProtection selectLockedCells="1" selectUnlockedCells="1"/>
  <sortState ref="A4:E17">
    <sortCondition descending="1" ref="C4:C17"/>
    <sortCondition ref="B4:B17"/>
  </sortState>
  <mergeCells count="2">
    <mergeCell ref="B1:N1"/>
    <mergeCell ref="B2:N2"/>
  </mergeCells>
  <phoneticPr fontId="33" type="noConversion"/>
  <printOptions horizontalCentered="1" verticalCentered="1"/>
  <pageMargins left="0.43000000000000005" right="0.43000000000000005" top="0.55000000000000004" bottom="0.55000000000000004" header="0.51" footer="0.51"/>
  <pageSetup paperSize="9" scale="7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43</vt:i4>
      </vt:variant>
      <vt:variant>
        <vt:lpstr>Navngivne områder</vt:lpstr>
      </vt:variant>
      <vt:variant>
        <vt:i4>72</vt:i4>
      </vt:variant>
    </vt:vector>
  </HeadingPairs>
  <TitlesOfParts>
    <vt:vector size="115" baseType="lpstr">
      <vt:lpstr>Samlet Stilling</vt:lpstr>
      <vt:lpstr>Medlemmer</vt:lpstr>
      <vt:lpstr>Money</vt:lpstr>
      <vt:lpstr>Point</vt:lpstr>
      <vt:lpstr>Putts</vt:lpstr>
      <vt:lpstr>Tæt-flag</vt:lpstr>
      <vt:lpstr>06-10</vt:lpstr>
      <vt:lpstr>04-10</vt:lpstr>
      <vt:lpstr>27-09</vt:lpstr>
      <vt:lpstr>20-09</vt:lpstr>
      <vt:lpstr>13-09</vt:lpstr>
      <vt:lpstr>09-09</vt:lpstr>
      <vt:lpstr>08-09</vt:lpstr>
      <vt:lpstr>06-09</vt:lpstr>
      <vt:lpstr>30-08</vt:lpstr>
      <vt:lpstr>23-08</vt:lpstr>
      <vt:lpstr>16-08</vt:lpstr>
      <vt:lpstr>09-08</vt:lpstr>
      <vt:lpstr>02-08</vt:lpstr>
      <vt:lpstr>26-07</vt:lpstr>
      <vt:lpstr>19-07</vt:lpstr>
      <vt:lpstr>12-07</vt:lpstr>
      <vt:lpstr>05-07</vt:lpstr>
      <vt:lpstr>28-06</vt:lpstr>
      <vt:lpstr>21-06</vt:lpstr>
      <vt:lpstr>14-06</vt:lpstr>
      <vt:lpstr>07-06</vt:lpstr>
      <vt:lpstr>02-06b</vt:lpstr>
      <vt:lpstr>02-06a</vt:lpstr>
      <vt:lpstr>31-05</vt:lpstr>
      <vt:lpstr>24-05</vt:lpstr>
      <vt:lpstr>17-05</vt:lpstr>
      <vt:lpstr>10-05</vt:lpstr>
      <vt:lpstr>03-05</vt:lpstr>
      <vt:lpstr>26-04</vt:lpstr>
      <vt:lpstr>19-04</vt:lpstr>
      <vt:lpstr>12-04</vt:lpstr>
      <vt:lpstr>05-04</vt:lpstr>
      <vt:lpstr>29-03</vt:lpstr>
      <vt:lpstr>Tourplan m. sløjfer</vt:lpstr>
      <vt:lpstr>Starttider</vt:lpstr>
      <vt:lpstr>Bødekassen</vt:lpstr>
      <vt:lpstr>Vindere</vt:lpstr>
      <vt:lpstr>Excel_BuiltIn__FilterDatabase_1</vt:lpstr>
      <vt:lpstr>Excel_BuiltIn__FilterDatabase_12</vt:lpstr>
      <vt:lpstr>'08-09'!Excel_BuiltIn__FilterDatabase_13</vt:lpstr>
      <vt:lpstr>Excel_BuiltIn__FilterDatabase_13</vt:lpstr>
      <vt:lpstr>Excel_BuiltIn__FilterDatabase_15</vt:lpstr>
      <vt:lpstr>Excel_BuiltIn__FilterDatabase_16</vt:lpstr>
      <vt:lpstr>Excel_BuiltIn__FilterDatabase_17</vt:lpstr>
      <vt:lpstr>Excel_BuiltIn__FilterDatabase_18</vt:lpstr>
      <vt:lpstr>Excel_BuiltIn__FilterDatabase_19</vt:lpstr>
      <vt:lpstr>Excel_BuiltIn__FilterDatabase_20</vt:lpstr>
      <vt:lpstr>Excel_BuiltIn__FilterDatabase_21</vt:lpstr>
      <vt:lpstr>Excel_BuiltIn__FilterDatabase_22</vt:lpstr>
      <vt:lpstr>Excel_BuiltIn__FilterDatabase_23</vt:lpstr>
      <vt:lpstr>Excel_BuiltIn__FilterDatabase_24</vt:lpstr>
      <vt:lpstr>Excel_BuiltIn__FilterDatabase_25</vt:lpstr>
      <vt:lpstr>Excel_BuiltIn__FilterDatabase_26</vt:lpstr>
      <vt:lpstr>Excel_BuiltIn__FilterDatabase_27</vt:lpstr>
      <vt:lpstr>Excel_BuiltIn__FilterDatabase_28</vt:lpstr>
      <vt:lpstr>Excel_BuiltIn__FilterDatabase_29</vt:lpstr>
      <vt:lpstr>Excel_BuiltIn__FilterDatabase_3</vt:lpstr>
      <vt:lpstr>Excel_BuiltIn__FilterDatabase_30</vt:lpstr>
      <vt:lpstr>Excel_BuiltIn__FilterDatabase_31</vt:lpstr>
      <vt:lpstr>Excel_BuiltIn__FilterDatabase_32</vt:lpstr>
      <vt:lpstr>Excel_BuiltIn__FilterDatabase_33</vt:lpstr>
      <vt:lpstr>Excel_BuiltIn__FilterDatabase_34</vt:lpstr>
      <vt:lpstr>Excel_BuiltIn__FilterDatabase_35</vt:lpstr>
      <vt:lpstr>Excel_BuiltIn__FilterDatabase_36</vt:lpstr>
      <vt:lpstr>Excel_BuiltIn__FilterDatabase_38</vt:lpstr>
      <vt:lpstr>'29-03'!Excel_BuiltIn__FilterDatabase_39</vt:lpstr>
      <vt:lpstr>Excel_BuiltIn__FilterDatabase_39</vt:lpstr>
      <vt:lpstr>Excel_BuiltIn__FilterDatabase_4</vt:lpstr>
      <vt:lpstr>Bødekassen!Excel_BuiltIn__FilterDatabase_5</vt:lpstr>
      <vt:lpstr>Excel_BuiltIn__FilterDatabase_5</vt:lpstr>
      <vt:lpstr>Excel_BuiltIn__FilterDatabase_6</vt:lpstr>
      <vt:lpstr>'04-10'!Excel_BuiltIn__FilterDatabase_8</vt:lpstr>
      <vt:lpstr>'06-10'!Excel_BuiltIn__FilterDatabase_8</vt:lpstr>
      <vt:lpstr>Excel_BuiltIn__FilterDatabase_8</vt:lpstr>
      <vt:lpstr>'13-09'!Excel_BuiltIn__FilterDatabase_9</vt:lpstr>
      <vt:lpstr>Excel_BuiltIn__FilterDatabase_9</vt:lpstr>
      <vt:lpstr>'02-06a'!Udskriftsområde</vt:lpstr>
      <vt:lpstr>'02-06b'!Udskriftsområde</vt:lpstr>
      <vt:lpstr>'02-08'!Udskriftsområde</vt:lpstr>
      <vt:lpstr>'03-05'!Udskriftsområde</vt:lpstr>
      <vt:lpstr>'05-04'!Udskriftsområde</vt:lpstr>
      <vt:lpstr>'05-07'!Udskriftsområde</vt:lpstr>
      <vt:lpstr>'06-09'!Udskriftsområde</vt:lpstr>
      <vt:lpstr>'07-06'!Udskriftsområde</vt:lpstr>
      <vt:lpstr>'08-09'!Udskriftsområde</vt:lpstr>
      <vt:lpstr>'09-08'!Udskriftsområde</vt:lpstr>
      <vt:lpstr>'09-09'!Udskriftsområde</vt:lpstr>
      <vt:lpstr>'10-05'!Udskriftsområde</vt:lpstr>
      <vt:lpstr>'12-04'!Udskriftsområde</vt:lpstr>
      <vt:lpstr>'12-07'!Udskriftsområde</vt:lpstr>
      <vt:lpstr>'14-06'!Udskriftsområde</vt:lpstr>
      <vt:lpstr>'16-08'!Udskriftsområde</vt:lpstr>
      <vt:lpstr>'17-05'!Udskriftsområde</vt:lpstr>
      <vt:lpstr>'19-04'!Udskriftsområde</vt:lpstr>
      <vt:lpstr>'19-07'!Udskriftsområde</vt:lpstr>
      <vt:lpstr>'21-06'!Udskriftsområde</vt:lpstr>
      <vt:lpstr>'23-08'!Udskriftsområde</vt:lpstr>
      <vt:lpstr>'24-05'!Udskriftsområde</vt:lpstr>
      <vt:lpstr>'26-04'!Udskriftsområde</vt:lpstr>
      <vt:lpstr>'26-07'!Udskriftsområde</vt:lpstr>
      <vt:lpstr>'28-06'!Udskriftsområde</vt:lpstr>
      <vt:lpstr>'29-03'!Udskriftsområde</vt:lpstr>
      <vt:lpstr>'30-08'!Udskriftsområde</vt:lpstr>
      <vt:lpstr>'31-05'!Udskriftsområde</vt:lpstr>
      <vt:lpstr>Bødekassen!Udskriftsområde</vt:lpstr>
      <vt:lpstr>Money!Udskriftsområde</vt:lpstr>
      <vt:lpstr>Point!Udskriftsområde</vt:lpstr>
      <vt:lpstr>Putts!Udskriftsområde</vt:lpstr>
      <vt:lpstr>'Tæt-flag'!Udskriftsområde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Jakob Kristensen</cp:lastModifiedBy>
  <cp:lastPrinted>2018-10-07T11:07:11Z</cp:lastPrinted>
  <dcterms:created xsi:type="dcterms:W3CDTF">2013-09-23T23:59:48Z</dcterms:created>
  <dcterms:modified xsi:type="dcterms:W3CDTF">2018-10-07T11:19:56Z</dcterms:modified>
</cp:coreProperties>
</file>